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5330" windowHeight="9315"/>
  </bookViews>
  <sheets>
    <sheet name="i" sheetId="1" r:id="rId1"/>
    <sheet name="RF" sheetId="37" r:id="rId2"/>
    <sheet name="EFp" sheetId="3" r:id="rId3"/>
    <sheet name="EFz" sheetId="4" r:id="rId4"/>
    <sheet name="EF-S" sheetId="36" r:id="rId5"/>
    <sheet name="EF-M" sheetId="28" r:id="rId6"/>
    <sheet name="STT" sheetId="5" r:id="rId7"/>
    <sheet name="CZ.V" sheetId="7" r:id="rId8"/>
    <sheet name="LNOP" sheetId="18" r:id="rId9"/>
    <sheet name="M42" sheetId="35" r:id="rId10"/>
    <sheet name="645" sheetId="14" r:id="rId11"/>
    <sheet name="LM" sheetId="34" r:id="rId12"/>
    <sheet name="compare" sheetId="32" r:id="rId13"/>
  </sheets>
  <externalReferences>
    <externalReference r:id="rId14"/>
  </externalReferences>
  <definedNames>
    <definedName name="CA.US" localSheetId="11">[1]i!$A$65</definedName>
    <definedName name="CA.US">i!$A$66</definedName>
    <definedName name="EOS_X" localSheetId="4">i!#REF!</definedName>
    <definedName name="EOS_X" localSheetId="11">[1]i!#REF!</definedName>
    <definedName name="EOS_X" localSheetId="1">i!#REF!</definedName>
    <definedName name="EOS_X">i!#REF!</definedName>
    <definedName name="LTM_X" localSheetId="4">i!#REF!</definedName>
    <definedName name="LTM_X" localSheetId="11">[1]i!#REF!</definedName>
    <definedName name="LTM_X" localSheetId="1">i!#REF!</definedName>
    <definedName name="LTM_X">i!#REF!</definedName>
    <definedName name="_xlnm.Print_Titles" localSheetId="10">'645'!$1:$5</definedName>
    <definedName name="_xlnm.Print_Titles" localSheetId="12">compare!$1:$5</definedName>
    <definedName name="_xlnm.Print_Titles" localSheetId="7">CZ.V!$1:$5</definedName>
    <definedName name="_xlnm.Print_Titles" localSheetId="5">'EF-M'!$1:$5</definedName>
    <definedName name="_xlnm.Print_Titles" localSheetId="2">EFp!$3:$5</definedName>
    <definedName name="_xlnm.Print_Titles" localSheetId="4">'EF-S'!$1:$5</definedName>
    <definedName name="_xlnm.Print_Titles" localSheetId="3">EFz!$1:$5</definedName>
    <definedName name="_xlnm.Print_Titles" localSheetId="0">i!$1:$3</definedName>
    <definedName name="_xlnm.Print_Titles" localSheetId="11">LM!$1:$5</definedName>
    <definedName name="_xlnm.Print_Titles" localSheetId="8">LNOP!$1:$5</definedName>
    <definedName name="_xlnm.Print_Titles" localSheetId="9">'M42'!$1:$5</definedName>
    <definedName name="_xlnm.Print_Titles" localSheetId="1">RF!$1:$5</definedName>
    <definedName name="_xlnm.Print_Titles" localSheetId="6">STT!$1:$5</definedName>
  </definedNames>
  <calcPr calcId="145621"/>
</workbook>
</file>

<file path=xl/calcChain.xml><?xml version="1.0" encoding="utf-8"?>
<calcChain xmlns="http://schemas.openxmlformats.org/spreadsheetml/2006/main">
  <c r="N78" i="35" l="1"/>
  <c r="L78" i="35"/>
  <c r="L79" i="35"/>
  <c r="N79" i="35"/>
  <c r="N11" i="37" l="1"/>
  <c r="L11" i="37"/>
  <c r="E11" i="37"/>
  <c r="N10" i="37"/>
  <c r="L10" i="37"/>
  <c r="E10" i="37"/>
  <c r="N8" i="37"/>
  <c r="L8" i="37"/>
  <c r="E8" i="37"/>
  <c r="N7" i="37"/>
  <c r="L7" i="37"/>
  <c r="E7" i="37"/>
  <c r="A2" i="37"/>
  <c r="R1" i="37"/>
  <c r="A1" i="37"/>
  <c r="N23" i="4"/>
  <c r="L23" i="4"/>
  <c r="E138" i="18" l="1"/>
  <c r="L138" i="18"/>
  <c r="N138" i="18"/>
  <c r="E139" i="18"/>
  <c r="L139" i="18"/>
  <c r="N139" i="18"/>
  <c r="E140" i="18"/>
  <c r="L140" i="18"/>
  <c r="N140" i="18"/>
  <c r="E141" i="18"/>
  <c r="L141" i="18"/>
  <c r="N141" i="18"/>
  <c r="E142" i="18"/>
  <c r="L142" i="18"/>
  <c r="N142" i="18"/>
  <c r="E143" i="18"/>
  <c r="L143" i="18"/>
  <c r="N143" i="18"/>
  <c r="E144" i="18"/>
  <c r="L144" i="18"/>
  <c r="N144" i="18"/>
  <c r="E145" i="18"/>
  <c r="L145" i="18"/>
  <c r="N145" i="18"/>
  <c r="E146" i="18"/>
  <c r="N146" i="18"/>
  <c r="E147" i="18"/>
  <c r="L147" i="18"/>
  <c r="N147" i="18"/>
  <c r="E148" i="18"/>
  <c r="L148" i="18"/>
  <c r="N148" i="18"/>
  <c r="E149" i="18"/>
  <c r="L149" i="18"/>
  <c r="N149" i="18"/>
  <c r="E150" i="18"/>
  <c r="L150" i="18"/>
  <c r="N150" i="18"/>
  <c r="E77" i="34" l="1"/>
  <c r="E76" i="34"/>
  <c r="E75" i="34"/>
  <c r="E74" i="34"/>
  <c r="E73" i="34"/>
  <c r="E72" i="34"/>
  <c r="E71" i="34"/>
  <c r="E70" i="34"/>
  <c r="E69" i="34"/>
  <c r="E68" i="34"/>
  <c r="E67" i="34"/>
  <c r="E66" i="34"/>
  <c r="E65" i="34"/>
  <c r="E64" i="34"/>
  <c r="E63" i="34"/>
  <c r="E62" i="34"/>
  <c r="E61" i="34"/>
  <c r="E60" i="34"/>
  <c r="E59" i="34"/>
  <c r="E58" i="34"/>
  <c r="E57" i="34"/>
  <c r="E56" i="34"/>
  <c r="E55" i="34"/>
  <c r="E54" i="34"/>
  <c r="E53" i="34"/>
  <c r="E52" i="34"/>
  <c r="E51" i="34"/>
  <c r="E50" i="34"/>
  <c r="E49" i="34"/>
  <c r="E48" i="34"/>
  <c r="E47" i="34"/>
  <c r="E46" i="34"/>
  <c r="E45" i="34"/>
  <c r="E44" i="34"/>
  <c r="E43" i="34"/>
  <c r="E19" i="34"/>
  <c r="E18" i="34"/>
  <c r="E17" i="34"/>
  <c r="E16" i="34"/>
  <c r="E15" i="34"/>
  <c r="E14" i="34"/>
  <c r="E13" i="34"/>
  <c r="E12" i="34"/>
  <c r="E11" i="34"/>
  <c r="E10" i="34"/>
  <c r="E9" i="34"/>
  <c r="E8" i="34"/>
  <c r="E7" i="34"/>
  <c r="E41" i="34"/>
  <c r="E40" i="34"/>
  <c r="E39" i="34"/>
  <c r="E38" i="34"/>
  <c r="E37" i="34"/>
  <c r="E36" i="34"/>
  <c r="E35" i="34"/>
  <c r="E34" i="34"/>
  <c r="E33" i="34"/>
  <c r="E32" i="34"/>
  <c r="E31" i="34"/>
  <c r="E30" i="34"/>
  <c r="E29" i="34"/>
  <c r="E28" i="34"/>
  <c r="E27" i="34"/>
  <c r="E26" i="34"/>
  <c r="E25" i="34"/>
  <c r="E24" i="34"/>
  <c r="E23" i="34"/>
  <c r="E22" i="34"/>
  <c r="E21" i="34"/>
  <c r="L16" i="32"/>
  <c r="N16" i="32"/>
  <c r="A16" i="32"/>
  <c r="B16" i="32"/>
  <c r="C16" i="32"/>
  <c r="D16" i="32"/>
  <c r="E16" i="32"/>
  <c r="F16" i="32"/>
  <c r="G16" i="32"/>
  <c r="H16" i="32"/>
  <c r="I16" i="32"/>
  <c r="J16" i="32"/>
  <c r="K16" i="32"/>
  <c r="M16" i="32"/>
  <c r="O16" i="32"/>
  <c r="P16" i="32"/>
  <c r="Q16" i="32"/>
  <c r="R16" i="32"/>
  <c r="S16" i="32"/>
  <c r="T16" i="32"/>
  <c r="U16" i="32"/>
  <c r="N95" i="7"/>
  <c r="L93" i="7"/>
  <c r="L92" i="7"/>
  <c r="N93" i="7"/>
  <c r="N46" i="35"/>
  <c r="L32" i="35"/>
  <c r="N32" i="35"/>
  <c r="L33" i="35"/>
  <c r="N33" i="35"/>
  <c r="L34" i="35"/>
  <c r="N34" i="35"/>
  <c r="P34" i="35"/>
  <c r="L35" i="35"/>
  <c r="N35" i="35"/>
  <c r="L36" i="35"/>
  <c r="N36" i="35"/>
  <c r="E37" i="35"/>
  <c r="L37" i="35"/>
  <c r="N37" i="35"/>
  <c r="E38" i="35"/>
  <c r="L38" i="35"/>
  <c r="N38" i="35"/>
  <c r="E39" i="35"/>
  <c r="L39" i="35"/>
  <c r="N39" i="35"/>
  <c r="N104" i="5"/>
  <c r="N134" i="18"/>
  <c r="L134" i="18"/>
  <c r="N132" i="18"/>
  <c r="N22" i="35" l="1"/>
  <c r="N35" i="36"/>
  <c r="L35" i="36"/>
  <c r="E35" i="36"/>
  <c r="N34" i="36"/>
  <c r="L34" i="36"/>
  <c r="E34" i="36"/>
  <c r="N31" i="36"/>
  <c r="L31" i="36"/>
  <c r="P30" i="36"/>
  <c r="N30" i="36"/>
  <c r="L30" i="36"/>
  <c r="N29" i="36"/>
  <c r="L29" i="36"/>
  <c r="N28" i="36"/>
  <c r="L28" i="36"/>
  <c r="N27" i="36"/>
  <c r="L27" i="36"/>
  <c r="N25" i="36"/>
  <c r="L25" i="36"/>
  <c r="P24" i="36"/>
  <c r="N24" i="36"/>
  <c r="L24" i="36"/>
  <c r="P23" i="36"/>
  <c r="N23" i="36"/>
  <c r="L23" i="36"/>
  <c r="P21" i="36"/>
  <c r="N21" i="36"/>
  <c r="L21" i="36"/>
  <c r="N20" i="36"/>
  <c r="L20" i="36"/>
  <c r="N19" i="36"/>
  <c r="L19" i="36"/>
  <c r="N18" i="36"/>
  <c r="L18" i="36"/>
  <c r="N17" i="36"/>
  <c r="L17" i="36"/>
  <c r="S16" i="36"/>
  <c r="N16" i="36"/>
  <c r="L16" i="36"/>
  <c r="P15" i="36"/>
  <c r="N15" i="36"/>
  <c r="L15" i="36"/>
  <c r="P14" i="36"/>
  <c r="N14" i="36"/>
  <c r="L14" i="36"/>
  <c r="P13" i="36"/>
  <c r="N13" i="36"/>
  <c r="L13" i="36"/>
  <c r="N11" i="36"/>
  <c r="L11" i="36"/>
  <c r="P10" i="36"/>
  <c r="N10" i="36"/>
  <c r="L10" i="36"/>
  <c r="E10" i="36"/>
  <c r="P9" i="36"/>
  <c r="N9" i="36"/>
  <c r="L9" i="36"/>
  <c r="E9" i="36"/>
  <c r="N8" i="36"/>
  <c r="L8" i="36"/>
  <c r="E8" i="36"/>
  <c r="P7" i="36"/>
  <c r="N7" i="36"/>
  <c r="L7" i="36"/>
  <c r="E7" i="36"/>
  <c r="A2" i="36"/>
  <c r="R1" i="36"/>
  <c r="A1" i="36"/>
  <c r="N38" i="14" l="1"/>
  <c r="L38" i="14"/>
  <c r="L37" i="14"/>
  <c r="N42" i="14"/>
  <c r="N39" i="14"/>
  <c r="N41" i="14"/>
  <c r="L41" i="14"/>
  <c r="N36" i="14"/>
  <c r="L36" i="14"/>
  <c r="N35" i="14"/>
  <c r="N40" i="14"/>
  <c r="L35" i="14"/>
  <c r="N18" i="14"/>
  <c r="N20" i="14"/>
  <c r="L12" i="14"/>
  <c r="N22" i="14" l="1"/>
  <c r="L23" i="14"/>
  <c r="N13" i="14"/>
  <c r="L18" i="14"/>
  <c r="N12" i="14"/>
  <c r="N7" i="14"/>
  <c r="N21" i="14"/>
  <c r="L19" i="14"/>
  <c r="L27" i="14"/>
  <c r="N8" i="14"/>
  <c r="L53" i="35"/>
  <c r="L70" i="35"/>
  <c r="N53" i="35"/>
  <c r="L15" i="35"/>
  <c r="L14" i="35"/>
  <c r="N14" i="35"/>
  <c r="L8" i="35"/>
  <c r="N8" i="35"/>
  <c r="L17" i="35"/>
  <c r="N7" i="35"/>
  <c r="N30" i="35"/>
  <c r="N20" i="35"/>
  <c r="N24" i="35"/>
  <c r="N61" i="7"/>
  <c r="L75" i="35"/>
  <c r="L86" i="18"/>
  <c r="L73" i="35"/>
  <c r="L25" i="18" l="1"/>
  <c r="N23" i="18"/>
  <c r="N28" i="18"/>
  <c r="L22" i="18"/>
  <c r="N22" i="18"/>
  <c r="L23" i="18"/>
  <c r="N20" i="18"/>
  <c r="L20" i="18"/>
  <c r="N18" i="18"/>
  <c r="L15" i="18"/>
  <c r="L36" i="18"/>
  <c r="N21" i="18"/>
  <c r="L12" i="18"/>
  <c r="L90" i="7"/>
  <c r="L91" i="7"/>
  <c r="N91" i="7"/>
  <c r="N88" i="7"/>
  <c r="N92" i="7"/>
  <c r="L95" i="7"/>
  <c r="N94" i="7"/>
  <c r="L48" i="7"/>
  <c r="L65" i="7"/>
  <c r="L62" i="7"/>
  <c r="L77" i="7"/>
  <c r="L58" i="5"/>
  <c r="L56" i="7"/>
  <c r="L71" i="7"/>
  <c r="N46" i="7"/>
  <c r="L44" i="7"/>
  <c r="L66" i="7"/>
  <c r="L68" i="7"/>
  <c r="L47" i="7"/>
  <c r="N77" i="7"/>
  <c r="N62" i="7"/>
  <c r="L72" i="7"/>
  <c r="N48" i="7"/>
  <c r="N71" i="7"/>
  <c r="L42" i="7"/>
  <c r="N42" i="7"/>
  <c r="L63" i="7"/>
  <c r="L40" i="7"/>
  <c r="L85" i="7"/>
  <c r="N85" i="7"/>
  <c r="N44" i="7"/>
  <c r="L86" i="7"/>
  <c r="N86" i="7"/>
  <c r="L51" i="7"/>
  <c r="L59" i="7"/>
  <c r="L60" i="5"/>
  <c r="L73" i="7"/>
  <c r="N47" i="7"/>
  <c r="N72" i="7"/>
  <c r="L58" i="7"/>
  <c r="N56" i="7"/>
  <c r="N51" i="7" l="1"/>
  <c r="N40" i="7"/>
  <c r="L55" i="7"/>
  <c r="L80" i="7"/>
  <c r="L38" i="7"/>
  <c r="N73" i="7"/>
  <c r="L74" i="7"/>
  <c r="N38" i="7"/>
  <c r="N55" i="7"/>
  <c r="L57" i="7"/>
  <c r="L41" i="7"/>
  <c r="L43" i="7"/>
  <c r="N45" i="7"/>
  <c r="N43" i="7"/>
  <c r="N78" i="7"/>
  <c r="L84" i="7"/>
  <c r="N28" i="7"/>
  <c r="N41" i="7"/>
  <c r="N39" i="7"/>
  <c r="L54" i="7"/>
  <c r="N54" i="7"/>
  <c r="N64" i="7"/>
  <c r="L9" i="7"/>
  <c r="N8" i="7"/>
  <c r="N9" i="7"/>
  <c r="L17" i="7"/>
  <c r="L16" i="7"/>
  <c r="N17" i="7"/>
  <c r="N20" i="7"/>
  <c r="N19" i="7"/>
  <c r="N21" i="7"/>
  <c r="L18" i="7"/>
  <c r="E7" i="18" l="1"/>
  <c r="L7" i="18"/>
  <c r="N7" i="18"/>
  <c r="E8" i="18"/>
  <c r="L8" i="18"/>
  <c r="N8" i="18"/>
  <c r="E9" i="18"/>
  <c r="L9" i="18"/>
  <c r="N9" i="18"/>
  <c r="E10" i="18"/>
  <c r="L10" i="18"/>
  <c r="N10" i="18"/>
  <c r="E11" i="18"/>
  <c r="L11" i="18"/>
  <c r="N11" i="18"/>
  <c r="E8" i="28" l="1"/>
  <c r="N9" i="5" l="1"/>
  <c r="N20" i="5"/>
  <c r="L11" i="5"/>
  <c r="N15" i="5"/>
  <c r="N10" i="5"/>
  <c r="N7" i="5"/>
  <c r="L7" i="5"/>
  <c r="L20" i="5"/>
  <c r="L19" i="5"/>
  <c r="L10" i="5"/>
  <c r="L13" i="5"/>
  <c r="L11" i="28"/>
  <c r="N10" i="28"/>
  <c r="N14" i="28"/>
  <c r="L12" i="28"/>
  <c r="L32" i="4"/>
  <c r="L28" i="4"/>
  <c r="N28" i="4"/>
  <c r="N18" i="4"/>
  <c r="L18" i="4"/>
  <c r="N13" i="4"/>
  <c r="L13" i="4"/>
  <c r="N10" i="4"/>
  <c r="N39" i="3"/>
  <c r="L39" i="3"/>
  <c r="N35" i="3"/>
  <c r="L35" i="3"/>
  <c r="L20" i="3"/>
  <c r="N20" i="3"/>
  <c r="L9" i="5"/>
  <c r="L18" i="3"/>
  <c r="N18" i="3"/>
  <c r="L17" i="3"/>
  <c r="N17" i="3"/>
  <c r="N16" i="3"/>
  <c r="L16" i="3"/>
  <c r="L154" i="18"/>
  <c r="L15" i="3"/>
  <c r="N11" i="3"/>
  <c r="L11" i="3"/>
  <c r="N6" i="3"/>
  <c r="N9" i="3"/>
  <c r="L9" i="3"/>
  <c r="L55" i="3" l="1"/>
  <c r="L31" i="4"/>
  <c r="L78" i="3"/>
  <c r="L22" i="3"/>
  <c r="L37" i="4"/>
  <c r="N7" i="3"/>
  <c r="L24" i="4"/>
  <c r="L35" i="4"/>
  <c r="L46" i="3"/>
  <c r="L98" i="5"/>
  <c r="L40" i="3"/>
  <c r="N45" i="3"/>
  <c r="N50" i="18"/>
  <c r="N37" i="4"/>
  <c r="L33" i="3"/>
  <c r="N17" i="4"/>
  <c r="N57" i="18"/>
  <c r="L80" i="5"/>
  <c r="L47" i="34"/>
  <c r="L87" i="18"/>
  <c r="L27" i="18"/>
  <c r="L100" i="5"/>
  <c r="N27" i="34" l="1"/>
  <c r="L14" i="4"/>
  <c r="N8" i="4"/>
  <c r="N69" i="3"/>
  <c r="L82" i="3"/>
  <c r="N56" i="34"/>
  <c r="L111" i="5"/>
  <c r="N9" i="14"/>
  <c r="N21" i="3"/>
  <c r="N59" i="34"/>
  <c r="L7" i="3"/>
  <c r="N110" i="5"/>
  <c r="N26" i="3"/>
  <c r="L50" i="18"/>
  <c r="L26" i="3"/>
  <c r="L15" i="5"/>
  <c r="N12" i="4"/>
  <c r="N79" i="3"/>
  <c r="N19" i="4"/>
  <c r="L158" i="18"/>
  <c r="L110" i="5"/>
  <c r="N55" i="18"/>
  <c r="N33" i="3"/>
  <c r="L31" i="34"/>
  <c r="L17" i="4"/>
  <c r="L13" i="14"/>
  <c r="N33" i="4"/>
  <c r="L25" i="3"/>
  <c r="N27" i="3"/>
  <c r="L89" i="18"/>
  <c r="L93" i="5" l="1"/>
  <c r="N94" i="18"/>
  <c r="L128" i="18"/>
  <c r="L67" i="3"/>
  <c r="N83" i="3"/>
  <c r="N89" i="18"/>
  <c r="N14" i="4"/>
  <c r="L52" i="18"/>
  <c r="L48" i="3"/>
  <c r="L35" i="18"/>
  <c r="L34" i="18"/>
  <c r="N29" i="5"/>
  <c r="L58" i="18"/>
  <c r="N32" i="3"/>
  <c r="N18" i="5"/>
  <c r="N7" i="28"/>
  <c r="L42" i="3"/>
  <c r="N51" i="34"/>
  <c r="L27" i="4"/>
  <c r="L9" i="14"/>
  <c r="N47" i="18"/>
  <c r="L77" i="18"/>
  <c r="N90" i="7"/>
  <c r="L8" i="4"/>
  <c r="N23" i="3"/>
  <c r="L21" i="4"/>
  <c r="L42" i="35"/>
  <c r="L44" i="5"/>
  <c r="L21" i="34"/>
  <c r="N21" i="34"/>
  <c r="N152" i="18"/>
  <c r="N34" i="4"/>
  <c r="L28" i="3"/>
  <c r="N77" i="18"/>
  <c r="L107" i="5"/>
  <c r="N25" i="4"/>
  <c r="N47" i="3"/>
  <c r="L60" i="3"/>
  <c r="N48" i="34"/>
  <c r="L28" i="18"/>
  <c r="L49" i="3"/>
  <c r="N9" i="34"/>
  <c r="L10" i="4"/>
  <c r="N113" i="18"/>
  <c r="L83" i="3"/>
  <c r="N30" i="3"/>
  <c r="L57" i="18"/>
  <c r="N44" i="3"/>
  <c r="L39" i="4"/>
  <c r="L116" i="18"/>
  <c r="N21" i="4"/>
  <c r="N24" i="4"/>
  <c r="L72" i="3"/>
  <c r="L30" i="7"/>
  <c r="L77" i="35"/>
  <c r="N40" i="4"/>
  <c r="N68" i="34"/>
  <c r="L15" i="4"/>
  <c r="N69" i="18"/>
  <c r="L95" i="5"/>
  <c r="L12" i="4"/>
  <c r="N81" i="3"/>
  <c r="L36" i="4"/>
  <c r="N44" i="5"/>
  <c r="N42" i="35"/>
  <c r="L44" i="3"/>
  <c r="N133" i="18" l="1"/>
  <c r="N14" i="18"/>
  <c r="N8" i="3"/>
  <c r="N30" i="4"/>
  <c r="L51" i="18"/>
  <c r="N61" i="18"/>
  <c r="L111" i="18"/>
  <c r="L7" i="4"/>
  <c r="L40" i="4"/>
  <c r="L10" i="14"/>
  <c r="L34" i="4"/>
  <c r="N66" i="3"/>
  <c r="N31" i="34"/>
  <c r="N74" i="34"/>
  <c r="L7" i="28"/>
  <c r="L87" i="5" l="1"/>
  <c r="L88" i="5"/>
  <c r="L92" i="5"/>
  <c r="N89" i="5"/>
  <c r="L90" i="5"/>
  <c r="N90" i="5"/>
  <c r="N107" i="5"/>
  <c r="N93" i="5"/>
  <c r="L21" i="18" l="1"/>
  <c r="N32" i="18"/>
  <c r="L28" i="34"/>
  <c r="L32" i="18"/>
  <c r="N39" i="18"/>
  <c r="L19" i="18"/>
  <c r="N27" i="18"/>
  <c r="N33" i="18"/>
  <c r="N35" i="18"/>
  <c r="L73" i="34"/>
  <c r="N12" i="18" l="1"/>
  <c r="L30" i="18"/>
  <c r="N30" i="18"/>
  <c r="L127" i="18"/>
  <c r="N80" i="18"/>
  <c r="N79" i="18"/>
  <c r="L25" i="4"/>
  <c r="N78" i="3"/>
  <c r="L22" i="4"/>
  <c r="N28" i="3"/>
  <c r="L33" i="34"/>
  <c r="L8" i="3"/>
  <c r="L41" i="3"/>
  <c r="L29" i="3"/>
  <c r="L27" i="35" l="1"/>
  <c r="L20" i="35"/>
  <c r="N21" i="35"/>
  <c r="L21" i="35"/>
  <c r="N70" i="35"/>
  <c r="N19" i="34" l="1"/>
  <c r="N8" i="34"/>
  <c r="N16" i="34"/>
  <c r="L13" i="34"/>
  <c r="N13" i="34"/>
  <c r="L11" i="34"/>
  <c r="L16" i="34"/>
  <c r="N12" i="34"/>
  <c r="N14" i="34"/>
  <c r="L10" i="34"/>
  <c r="L14" i="34"/>
  <c r="L19" i="34"/>
  <c r="L17" i="34"/>
  <c r="N15" i="34"/>
  <c r="N18" i="34"/>
  <c r="L18" i="34"/>
  <c r="N17" i="34"/>
  <c r="N11" i="34"/>
  <c r="N64" i="34"/>
  <c r="N61" i="34"/>
  <c r="N67" i="34"/>
  <c r="L67" i="34"/>
  <c r="N53" i="34"/>
  <c r="N54" i="34"/>
  <c r="L71" i="34"/>
  <c r="N57" i="34"/>
  <c r="L48" i="34"/>
  <c r="L75" i="34"/>
  <c r="N52" i="34"/>
  <c r="N75" i="34"/>
  <c r="N60" i="34"/>
  <c r="L51" i="34"/>
  <c r="L53" i="34"/>
  <c r="N62" i="34"/>
  <c r="L68" i="34"/>
  <c r="N63" i="34"/>
  <c r="L76" i="34"/>
  <c r="N65" i="34"/>
  <c r="L70" i="34"/>
  <c r="L74" i="34"/>
  <c r="L65" i="34"/>
  <c r="N73" i="34"/>
  <c r="N73" i="35" l="1"/>
  <c r="L12" i="34" l="1"/>
  <c r="L23" i="34"/>
  <c r="L42" i="4" l="1"/>
  <c r="N15" i="4"/>
  <c r="L30" i="4"/>
  <c r="L73" i="18"/>
  <c r="L61" i="18"/>
  <c r="N127" i="18"/>
  <c r="A25" i="32" l="1"/>
  <c r="B25" i="32"/>
  <c r="C25" i="32"/>
  <c r="D25" i="32"/>
  <c r="F25" i="32"/>
  <c r="G25" i="32"/>
  <c r="H25" i="32"/>
  <c r="I25" i="32"/>
  <c r="J25" i="32"/>
  <c r="K25" i="32"/>
  <c r="M25" i="32"/>
  <c r="O25" i="32"/>
  <c r="P25" i="32"/>
  <c r="Q25" i="32"/>
  <c r="R25" i="32"/>
  <c r="S25" i="32"/>
  <c r="T25" i="32"/>
  <c r="U25" i="32"/>
  <c r="L32" i="34" l="1"/>
  <c r="N29" i="34"/>
  <c r="L25" i="34"/>
  <c r="N25" i="34"/>
  <c r="N23" i="34"/>
  <c r="L34" i="34"/>
  <c r="N34" i="34"/>
  <c r="L37" i="34"/>
  <c r="L38" i="34"/>
  <c r="L22" i="34"/>
  <c r="N22" i="34"/>
  <c r="N33" i="34"/>
  <c r="N24" i="34"/>
  <c r="L24" i="34"/>
  <c r="N37" i="34"/>
  <c r="N38" i="34"/>
  <c r="N41" i="34"/>
  <c r="N25" i="32" s="1"/>
  <c r="L41" i="34"/>
  <c r="L25" i="32" s="1"/>
  <c r="E25" i="32"/>
  <c r="A26" i="32" l="1"/>
  <c r="B26" i="32"/>
  <c r="C26" i="32"/>
  <c r="D26" i="32"/>
  <c r="F26" i="32"/>
  <c r="G26" i="32"/>
  <c r="H26" i="32"/>
  <c r="I26" i="32"/>
  <c r="J26" i="32"/>
  <c r="K26" i="32"/>
  <c r="M26" i="32"/>
  <c r="O26" i="32"/>
  <c r="P26" i="32"/>
  <c r="Q26" i="32"/>
  <c r="R26" i="32"/>
  <c r="S26" i="32"/>
  <c r="T26" i="32"/>
  <c r="U26" i="32"/>
  <c r="A11" i="32" l="1"/>
  <c r="B11" i="32"/>
  <c r="C11" i="32"/>
  <c r="D11" i="32"/>
  <c r="F11" i="32"/>
  <c r="G11" i="32"/>
  <c r="H11" i="32"/>
  <c r="I11" i="32"/>
  <c r="J11" i="32"/>
  <c r="K11" i="32"/>
  <c r="L11" i="32"/>
  <c r="M11" i="32"/>
  <c r="N11" i="32"/>
  <c r="O11" i="32"/>
  <c r="P11" i="32"/>
  <c r="Q11" i="32"/>
  <c r="R11" i="32"/>
  <c r="S11" i="32"/>
  <c r="T11" i="32"/>
  <c r="U11" i="32"/>
  <c r="A12" i="32"/>
  <c r="B12" i="32"/>
  <c r="C12" i="32"/>
  <c r="D12" i="32"/>
  <c r="F12" i="32"/>
  <c r="G12" i="32"/>
  <c r="H12" i="32"/>
  <c r="I12" i="32"/>
  <c r="J12" i="32"/>
  <c r="K12" i="32"/>
  <c r="M12" i="32"/>
  <c r="O12" i="32"/>
  <c r="P12" i="32"/>
  <c r="Q12" i="32"/>
  <c r="R12" i="32"/>
  <c r="S12" i="32"/>
  <c r="T12" i="32"/>
  <c r="U12" i="32"/>
  <c r="A13" i="32"/>
  <c r="B13" i="32"/>
  <c r="C13" i="32"/>
  <c r="D13" i="32"/>
  <c r="F13" i="32"/>
  <c r="G13" i="32"/>
  <c r="H13" i="32"/>
  <c r="I13" i="32"/>
  <c r="J13" i="32"/>
  <c r="K13" i="32"/>
  <c r="M13" i="32"/>
  <c r="O13" i="32"/>
  <c r="P13" i="32"/>
  <c r="Q13" i="32"/>
  <c r="R13" i="32"/>
  <c r="S13" i="32"/>
  <c r="T13" i="32"/>
  <c r="U13" i="32"/>
  <c r="N57" i="7" l="1"/>
  <c r="A36" i="32"/>
  <c r="B36" i="32"/>
  <c r="C36" i="32"/>
  <c r="D36" i="32"/>
  <c r="E36" i="32"/>
  <c r="F36" i="32"/>
  <c r="G36" i="32"/>
  <c r="H36" i="32"/>
  <c r="I36" i="32"/>
  <c r="J36" i="32"/>
  <c r="K36" i="32"/>
  <c r="L36" i="32"/>
  <c r="M36" i="32"/>
  <c r="N36" i="32"/>
  <c r="O36" i="32"/>
  <c r="Q36" i="32"/>
  <c r="R36" i="32"/>
  <c r="S36" i="32"/>
  <c r="T36" i="32"/>
  <c r="U36" i="32"/>
  <c r="A37" i="32"/>
  <c r="B37" i="32"/>
  <c r="C37" i="32"/>
  <c r="D37" i="32"/>
  <c r="E37" i="32"/>
  <c r="F37" i="32"/>
  <c r="G37" i="32"/>
  <c r="H37" i="32"/>
  <c r="I37" i="32"/>
  <c r="J37" i="32"/>
  <c r="K37" i="32"/>
  <c r="L37" i="32"/>
  <c r="M37" i="32"/>
  <c r="N37" i="32"/>
  <c r="O37" i="32"/>
  <c r="P37" i="32"/>
  <c r="Q37" i="32"/>
  <c r="R37" i="32"/>
  <c r="S37" i="32"/>
  <c r="T37" i="32"/>
  <c r="U37" i="32"/>
  <c r="N77" i="35" l="1"/>
  <c r="L67" i="35"/>
  <c r="L63" i="35"/>
  <c r="L61" i="35"/>
  <c r="N61" i="35"/>
  <c r="L64" i="35"/>
  <c r="N63" i="35"/>
  <c r="N111" i="18" l="1"/>
  <c r="S42" i="3" l="1"/>
  <c r="L61" i="7"/>
  <c r="N74" i="7"/>
  <c r="L28" i="5"/>
  <c r="N13" i="5"/>
  <c r="L43" i="3"/>
  <c r="N43" i="3"/>
  <c r="N19" i="3" l="1"/>
  <c r="L19" i="3"/>
  <c r="L156" i="18"/>
  <c r="N67" i="3"/>
  <c r="L66" i="3"/>
  <c r="N65" i="3"/>
  <c r="L64" i="3"/>
  <c r="N62" i="3"/>
  <c r="L62" i="3"/>
  <c r="N24" i="3"/>
  <c r="L24" i="3"/>
  <c r="N18" i="28"/>
  <c r="L18" i="28"/>
  <c r="L16" i="28"/>
  <c r="N16" i="28"/>
  <c r="N20" i="28"/>
  <c r="L20" i="28"/>
  <c r="L19" i="28"/>
  <c r="N19" i="28"/>
  <c r="L115" i="18"/>
  <c r="L39" i="5"/>
  <c r="A17" i="32" l="1"/>
  <c r="B17" i="32"/>
  <c r="C17" i="32"/>
  <c r="D17" i="32"/>
  <c r="F17" i="32"/>
  <c r="G17" i="32"/>
  <c r="H17" i="32"/>
  <c r="I17" i="32"/>
  <c r="J17" i="32"/>
  <c r="K17" i="32"/>
  <c r="M17" i="32"/>
  <c r="O17" i="32"/>
  <c r="Q17" i="32"/>
  <c r="R17" i="32"/>
  <c r="S17" i="32"/>
  <c r="T17" i="32"/>
  <c r="U17" i="32"/>
  <c r="A20" i="32" l="1"/>
  <c r="B20" i="32"/>
  <c r="C20" i="32"/>
  <c r="D20" i="32"/>
  <c r="F20" i="32"/>
  <c r="G20" i="32"/>
  <c r="H20" i="32"/>
  <c r="I20" i="32"/>
  <c r="J20" i="32"/>
  <c r="K20" i="32"/>
  <c r="M20" i="32"/>
  <c r="O20" i="32"/>
  <c r="P20" i="32"/>
  <c r="Q20" i="32"/>
  <c r="R20" i="32"/>
  <c r="S20" i="32"/>
  <c r="T20" i="32"/>
  <c r="U20" i="32"/>
  <c r="A23" i="32"/>
  <c r="B23" i="32"/>
  <c r="C23" i="32"/>
  <c r="D23" i="32"/>
  <c r="F23" i="32"/>
  <c r="G23" i="32"/>
  <c r="H23" i="32"/>
  <c r="I23" i="32"/>
  <c r="J23" i="32"/>
  <c r="K23" i="32"/>
  <c r="M23" i="32"/>
  <c r="O23" i="32"/>
  <c r="P23" i="32"/>
  <c r="Q23" i="32"/>
  <c r="R23" i="32"/>
  <c r="S23" i="32"/>
  <c r="T23" i="32"/>
  <c r="U23" i="32"/>
  <c r="A19" i="32"/>
  <c r="B19" i="32"/>
  <c r="C19" i="32"/>
  <c r="D19" i="32"/>
  <c r="F19" i="32"/>
  <c r="G19" i="32"/>
  <c r="H19" i="32"/>
  <c r="I19" i="32"/>
  <c r="J19" i="32"/>
  <c r="K19" i="32"/>
  <c r="L19" i="32"/>
  <c r="M19" i="32"/>
  <c r="O19" i="32"/>
  <c r="P19" i="32"/>
  <c r="Q19" i="32"/>
  <c r="R19" i="32"/>
  <c r="T19" i="32"/>
  <c r="U19" i="32"/>
  <c r="A22" i="32"/>
  <c r="B22" i="32"/>
  <c r="C22" i="32"/>
  <c r="D22" i="32"/>
  <c r="F22" i="32"/>
  <c r="G22" i="32"/>
  <c r="H22" i="32"/>
  <c r="I22" i="32"/>
  <c r="J22" i="32"/>
  <c r="K22" i="32"/>
  <c r="L22" i="32"/>
  <c r="M22" i="32"/>
  <c r="O22" i="32"/>
  <c r="P22" i="32"/>
  <c r="Q22" i="32"/>
  <c r="R22" i="32"/>
  <c r="S22" i="32"/>
  <c r="T22" i="32"/>
  <c r="U22" i="32"/>
  <c r="A21" i="32"/>
  <c r="B21" i="32"/>
  <c r="C21" i="32"/>
  <c r="D21" i="32"/>
  <c r="F21" i="32"/>
  <c r="G21" i="32"/>
  <c r="H21" i="32"/>
  <c r="I21" i="32"/>
  <c r="J21" i="32"/>
  <c r="K21" i="32"/>
  <c r="M21" i="32"/>
  <c r="O21" i="32"/>
  <c r="P21" i="32"/>
  <c r="Q21" i="32"/>
  <c r="R21" i="32"/>
  <c r="S21" i="32"/>
  <c r="T21" i="32"/>
  <c r="U21" i="32"/>
  <c r="A32" i="32"/>
  <c r="B32" i="32"/>
  <c r="C32" i="32"/>
  <c r="D32" i="32"/>
  <c r="F32" i="32"/>
  <c r="G32" i="32"/>
  <c r="H32" i="32"/>
  <c r="I32" i="32"/>
  <c r="J32" i="32"/>
  <c r="K32" i="32"/>
  <c r="M32" i="32"/>
  <c r="O32" i="32"/>
  <c r="P32" i="32"/>
  <c r="Q32" i="32"/>
  <c r="R32" i="32"/>
  <c r="S32" i="32"/>
  <c r="T32" i="32"/>
  <c r="U32" i="32"/>
  <c r="A33" i="32"/>
  <c r="B33" i="32"/>
  <c r="C33" i="32"/>
  <c r="D33" i="32"/>
  <c r="F33" i="32"/>
  <c r="G33" i="32"/>
  <c r="H33" i="32"/>
  <c r="I33" i="32"/>
  <c r="J33" i="32"/>
  <c r="K33" i="32"/>
  <c r="M33" i="32"/>
  <c r="N33" i="32"/>
  <c r="O33" i="32"/>
  <c r="P33" i="32"/>
  <c r="Q33" i="32"/>
  <c r="R33" i="32"/>
  <c r="S33" i="32"/>
  <c r="T33" i="32"/>
  <c r="U33" i="32"/>
  <c r="L32" i="32"/>
  <c r="L30" i="32"/>
  <c r="N32" i="32"/>
  <c r="A28" i="32"/>
  <c r="B28" i="32"/>
  <c r="C28" i="32"/>
  <c r="D28" i="32"/>
  <c r="F28" i="32"/>
  <c r="G28" i="32"/>
  <c r="H28" i="32"/>
  <c r="I28" i="32"/>
  <c r="J28" i="32"/>
  <c r="K28" i="32"/>
  <c r="M28" i="32"/>
  <c r="O28" i="32"/>
  <c r="Q28" i="32"/>
  <c r="R28" i="32"/>
  <c r="S28" i="32"/>
  <c r="T28" i="32"/>
  <c r="U28" i="32"/>
  <c r="A29" i="32"/>
  <c r="B29" i="32"/>
  <c r="C29" i="32"/>
  <c r="D29" i="32"/>
  <c r="F29" i="32"/>
  <c r="G29" i="32"/>
  <c r="H29" i="32"/>
  <c r="I29" i="32"/>
  <c r="J29" i="32"/>
  <c r="K29" i="32"/>
  <c r="M29" i="32"/>
  <c r="O29" i="32"/>
  <c r="P29" i="32"/>
  <c r="Q29" i="32"/>
  <c r="R29" i="32"/>
  <c r="S29" i="32"/>
  <c r="T29" i="32"/>
  <c r="U29" i="32"/>
  <c r="A30" i="32"/>
  <c r="B30" i="32"/>
  <c r="C30" i="32"/>
  <c r="D30" i="32"/>
  <c r="F30" i="32"/>
  <c r="G30" i="32"/>
  <c r="H30" i="32"/>
  <c r="I30" i="32"/>
  <c r="J30" i="32"/>
  <c r="K30" i="32"/>
  <c r="M30" i="32"/>
  <c r="O30" i="32"/>
  <c r="P30" i="32"/>
  <c r="Q30" i="32"/>
  <c r="R30" i="32"/>
  <c r="S30" i="32"/>
  <c r="T30" i="32"/>
  <c r="U30" i="32"/>
  <c r="A15" i="32"/>
  <c r="B15" i="32"/>
  <c r="C15" i="32"/>
  <c r="D15" i="32"/>
  <c r="F15" i="32"/>
  <c r="G15" i="32"/>
  <c r="H15" i="32"/>
  <c r="I15" i="32"/>
  <c r="J15" i="32"/>
  <c r="K15" i="32"/>
  <c r="M15" i="32"/>
  <c r="O15" i="32"/>
  <c r="P15" i="32"/>
  <c r="Q15" i="32"/>
  <c r="R15" i="32"/>
  <c r="S15" i="32"/>
  <c r="T15" i="32"/>
  <c r="U15" i="32"/>
  <c r="N30" i="32"/>
  <c r="E30" i="32"/>
  <c r="E32" i="32"/>
  <c r="N21" i="32" l="1"/>
  <c r="L21" i="32"/>
  <c r="E21" i="32"/>
  <c r="L88" i="7" l="1"/>
  <c r="L123" i="18"/>
  <c r="L76" i="35" l="1"/>
  <c r="N76" i="35"/>
  <c r="N75" i="35" l="1"/>
  <c r="N37" i="14"/>
  <c r="L14" i="14"/>
  <c r="N16" i="14"/>
  <c r="N15" i="14"/>
  <c r="N11" i="14"/>
  <c r="N14" i="14"/>
  <c r="L11" i="14"/>
  <c r="L15" i="14"/>
  <c r="L16" i="14"/>
  <c r="L20" i="14"/>
  <c r="N27" i="14"/>
  <c r="N23" i="14"/>
  <c r="L28" i="14"/>
  <c r="N25" i="14"/>
  <c r="N10" i="14" l="1"/>
  <c r="L24" i="14"/>
  <c r="N24" i="14"/>
  <c r="N136" i="18"/>
  <c r="L136" i="18"/>
  <c r="L43" i="35"/>
  <c r="N74" i="5"/>
  <c r="N128" i="18"/>
  <c r="N123" i="18"/>
  <c r="N122" i="18"/>
  <c r="E159" i="18"/>
  <c r="L59" i="5" l="1"/>
  <c r="N59" i="5"/>
  <c r="L75" i="7" l="1"/>
  <c r="N66" i="7"/>
  <c r="N59" i="7"/>
  <c r="N63" i="7"/>
  <c r="N68" i="7"/>
  <c r="N60" i="5"/>
  <c r="L53" i="7"/>
  <c r="N60" i="7"/>
  <c r="L76" i="7"/>
  <c r="N58" i="7"/>
  <c r="N76" i="7"/>
  <c r="N80" i="7"/>
  <c r="L39" i="7"/>
  <c r="N84" i="7"/>
  <c r="L36" i="7"/>
  <c r="L34" i="7"/>
  <c r="N34" i="7"/>
  <c r="N33" i="7"/>
  <c r="L20" i="7"/>
  <c r="L31" i="7"/>
  <c r="N31" i="7"/>
  <c r="N30" i="7"/>
  <c r="L28" i="7"/>
  <c r="L29" i="7"/>
  <c r="N29" i="7"/>
  <c r="N15" i="7"/>
  <c r="N23" i="7"/>
  <c r="L23" i="7"/>
  <c r="N25" i="35"/>
  <c r="N26" i="35"/>
  <c r="N43" i="35"/>
  <c r="L54" i="35"/>
  <c r="L52" i="35"/>
  <c r="N54" i="35"/>
  <c r="N22" i="32" l="1"/>
  <c r="N160" i="18"/>
  <c r="N158" i="18"/>
  <c r="N156" i="18"/>
  <c r="N69" i="34"/>
  <c r="L69" i="34"/>
  <c r="N12" i="28"/>
  <c r="N11" i="28"/>
  <c r="L14" i="28"/>
  <c r="L10" i="28"/>
  <c r="N42" i="4"/>
  <c r="N41" i="4"/>
  <c r="N36" i="4"/>
  <c r="L73" i="5"/>
  <c r="N35" i="4"/>
  <c r="L33" i="4"/>
  <c r="N32" i="4"/>
  <c r="N31" i="4"/>
  <c r="N27" i="4"/>
  <c r="N20" i="4"/>
  <c r="N16" i="4"/>
  <c r="L74" i="3"/>
  <c r="N74" i="3"/>
  <c r="N71" i="3"/>
  <c r="L71" i="3"/>
  <c r="N73" i="3"/>
  <c r="L73" i="3"/>
  <c r="L51" i="5"/>
  <c r="N52" i="5"/>
  <c r="N72" i="3"/>
  <c r="N51" i="5"/>
  <c r="L70" i="3"/>
  <c r="L69" i="3"/>
  <c r="N68" i="3"/>
  <c r="L50" i="5"/>
  <c r="L68" i="3"/>
  <c r="N63" i="3"/>
  <c r="L63" i="3"/>
  <c r="N64" i="3"/>
  <c r="L61" i="3"/>
  <c r="L65" i="3"/>
  <c r="L59" i="3"/>
  <c r="L58" i="3"/>
  <c r="N58" i="3"/>
  <c r="L57" i="3"/>
  <c r="L56" i="3"/>
  <c r="N57" i="3"/>
  <c r="L48" i="5"/>
  <c r="L47" i="5"/>
  <c r="N56" i="3"/>
  <c r="N55" i="3"/>
  <c r="L53" i="3"/>
  <c r="N53" i="3"/>
  <c r="L52" i="3"/>
  <c r="N52" i="3"/>
  <c r="L51" i="3"/>
  <c r="N51" i="3"/>
  <c r="L34" i="5"/>
  <c r="N33" i="5"/>
  <c r="N50" i="3"/>
  <c r="L50" i="3"/>
  <c r="L45" i="3"/>
  <c r="N41" i="3"/>
  <c r="N42" i="3"/>
  <c r="N40" i="3"/>
  <c r="N37" i="3"/>
  <c r="N36" i="3"/>
  <c r="L36" i="3"/>
  <c r="L37" i="3"/>
  <c r="L30" i="3" l="1"/>
  <c r="L31" i="3"/>
  <c r="N31" i="3"/>
  <c r="L27" i="3"/>
  <c r="L9" i="28"/>
  <c r="N9" i="28"/>
  <c r="N25" i="3"/>
  <c r="N22" i="3"/>
  <c r="L6" i="3"/>
  <c r="N154" i="18"/>
  <c r="L8" i="7"/>
  <c r="L105" i="18"/>
  <c r="N103" i="18"/>
  <c r="N104" i="18"/>
  <c r="L68" i="18" l="1"/>
  <c r="N71" i="18"/>
  <c r="L71" i="18"/>
  <c r="N68" i="18"/>
  <c r="N67" i="18"/>
  <c r="L67" i="18"/>
  <c r="E67" i="18"/>
  <c r="L66" i="18"/>
  <c r="N65" i="18"/>
  <c r="L65" i="18"/>
  <c r="N66" i="18"/>
  <c r="L64" i="18"/>
  <c r="L63" i="18"/>
  <c r="N63" i="18"/>
  <c r="L62" i="18"/>
  <c r="N58" i="18"/>
  <c r="N51" i="18"/>
  <c r="N48" i="18"/>
  <c r="L48" i="18"/>
  <c r="L74" i="35" l="1"/>
  <c r="L72" i="35"/>
  <c r="N72" i="35"/>
  <c r="L58" i="35"/>
  <c r="L57" i="35"/>
  <c r="L46" i="35"/>
  <c r="L45" i="35"/>
  <c r="L30" i="35"/>
  <c r="L18" i="35"/>
  <c r="N18" i="35"/>
  <c r="L28" i="35"/>
  <c r="N28" i="35"/>
  <c r="L69" i="35"/>
  <c r="N11" i="35"/>
  <c r="L11" i="35"/>
  <c r="E11" i="35"/>
  <c r="N12" i="35"/>
  <c r="N10" i="35"/>
  <c r="L10" i="35"/>
  <c r="L23" i="35"/>
  <c r="N23" i="35"/>
  <c r="L24" i="35"/>
  <c r="N9" i="35"/>
  <c r="L29" i="35"/>
  <c r="L9" i="35"/>
  <c r="N17" i="35"/>
  <c r="N29" i="35"/>
  <c r="L29" i="32" l="1"/>
  <c r="L7" i="35"/>
  <c r="N83" i="18" l="1"/>
  <c r="L83" i="18"/>
  <c r="P26" i="3" l="1"/>
  <c r="E54" i="35" l="1"/>
  <c r="L49" i="35"/>
  <c r="N51" i="35"/>
  <c r="L56" i="35"/>
  <c r="N40" i="35"/>
  <c r="N41" i="35"/>
  <c r="L41" i="35"/>
  <c r="L49" i="34" l="1"/>
  <c r="N49" i="34"/>
  <c r="L54" i="34"/>
  <c r="N12" i="32"/>
  <c r="L12" i="32"/>
  <c r="L77" i="34"/>
  <c r="L55" i="34"/>
  <c r="N44" i="34"/>
  <c r="L45" i="34"/>
  <c r="N46" i="34"/>
  <c r="N45" i="34"/>
  <c r="L44" i="34"/>
  <c r="L43" i="34"/>
  <c r="N70" i="34"/>
  <c r="L50" i="34"/>
  <c r="L62" i="34"/>
  <c r="L15" i="34"/>
  <c r="N10" i="34"/>
  <c r="L7" i="34"/>
  <c r="N32" i="34"/>
  <c r="N40" i="34" l="1"/>
  <c r="N23" i="32" s="1"/>
  <c r="L40" i="34"/>
  <c r="L23" i="32" s="1"/>
  <c r="L29" i="34"/>
  <c r="L30" i="34"/>
  <c r="N26" i="34"/>
  <c r="L39" i="34"/>
  <c r="L20" i="32" s="1"/>
  <c r="N28" i="34"/>
  <c r="L26" i="34"/>
  <c r="L27" i="34"/>
  <c r="N36" i="34"/>
  <c r="N15" i="32" s="1"/>
  <c r="N39" i="34"/>
  <c r="N20" i="32" s="1"/>
  <c r="N35" i="34"/>
  <c r="L36" i="34"/>
  <c r="L15" i="32" s="1"/>
  <c r="E15" i="32"/>
  <c r="E23" i="32"/>
  <c r="P116" i="18" l="1"/>
  <c r="P41" i="35" l="1"/>
  <c r="P40" i="3"/>
  <c r="N34" i="3"/>
  <c r="L34" i="3"/>
  <c r="N10" i="3"/>
  <c r="N13" i="3"/>
  <c r="N12" i="3"/>
  <c r="L13" i="3"/>
  <c r="L12" i="3"/>
  <c r="L10" i="3"/>
  <c r="N109" i="5"/>
  <c r="L109" i="5"/>
  <c r="N46" i="5"/>
  <c r="L46" i="5"/>
  <c r="N19" i="5"/>
  <c r="N16" i="5"/>
  <c r="L16" i="5"/>
  <c r="L21" i="7"/>
  <c r="L15" i="7"/>
  <c r="L14" i="7"/>
  <c r="N14" i="7"/>
  <c r="N12" i="7"/>
  <c r="L12" i="7"/>
  <c r="L11" i="7"/>
  <c r="N106" i="18"/>
  <c r="L106" i="18"/>
  <c r="L39" i="18"/>
  <c r="L38" i="18"/>
  <c r="N74" i="35"/>
  <c r="N64" i="35"/>
  <c r="P31" i="4"/>
  <c r="P154" i="18"/>
  <c r="P26" i="5"/>
  <c r="P13" i="5"/>
  <c r="P10" i="4"/>
  <c r="P80" i="3"/>
  <c r="P79" i="3"/>
  <c r="P37" i="4"/>
  <c r="P12" i="4"/>
  <c r="S20" i="3"/>
  <c r="P42" i="4"/>
  <c r="S17" i="7"/>
  <c r="S44" i="3"/>
  <c r="S17" i="4"/>
  <c r="S28" i="3"/>
  <c r="S12" i="7"/>
  <c r="P36" i="32" l="1"/>
  <c r="P40" i="4"/>
  <c r="P110" i="5"/>
  <c r="S84" i="5"/>
  <c r="S33" i="3"/>
  <c r="S19" i="7"/>
  <c r="L113" i="18" l="1"/>
  <c r="L32" i="3"/>
  <c r="N14" i="5"/>
  <c r="L14" i="5"/>
  <c r="L20" i="4"/>
  <c r="N59" i="3"/>
  <c r="L16" i="4"/>
  <c r="L81" i="7"/>
  <c r="L46" i="18"/>
  <c r="N49" i="3"/>
  <c r="L11" i="4"/>
  <c r="L152" i="18"/>
  <c r="L33" i="32" l="1"/>
  <c r="N26" i="4"/>
  <c r="L26" i="4"/>
  <c r="L19" i="4" l="1"/>
  <c r="L21" i="3"/>
  <c r="L56" i="34" l="1"/>
  <c r="L64" i="34"/>
  <c r="L63" i="34"/>
  <c r="L13" i="32"/>
  <c r="L59" i="34"/>
  <c r="L61" i="34"/>
  <c r="N58" i="34"/>
  <c r="N71" i="34"/>
  <c r="N52" i="18"/>
  <c r="N58" i="5"/>
  <c r="N54" i="18"/>
  <c r="N95" i="5" l="1"/>
  <c r="N80" i="3"/>
  <c r="N61" i="5"/>
  <c r="N9" i="4"/>
  <c r="N75" i="7"/>
  <c r="N55" i="34" l="1"/>
  <c r="N47" i="34"/>
  <c r="L60" i="34"/>
  <c r="L47" i="3"/>
  <c r="N11" i="5"/>
  <c r="N119" i="18"/>
  <c r="N91" i="18"/>
  <c r="N87" i="18"/>
  <c r="N53" i="18"/>
  <c r="N76" i="34"/>
  <c r="N13" i="32" s="1"/>
  <c r="N82" i="3"/>
  <c r="L69" i="18"/>
  <c r="L78" i="7"/>
  <c r="L27" i="7"/>
  <c r="N24" i="7"/>
  <c r="L26" i="7"/>
  <c r="L32" i="7"/>
  <c r="L24" i="7"/>
  <c r="L25" i="7"/>
  <c r="L33" i="7"/>
  <c r="L7" i="7"/>
  <c r="N7" i="7"/>
  <c r="N70" i="3"/>
  <c r="L79" i="3"/>
  <c r="N60" i="3"/>
  <c r="N6" i="4"/>
  <c r="L38" i="3"/>
  <c r="N24" i="18"/>
  <c r="L41" i="4"/>
  <c r="L23" i="3"/>
  <c r="L99" i="18"/>
  <c r="N97" i="18"/>
  <c r="L55" i="18"/>
  <c r="L104" i="18"/>
  <c r="L45" i="5"/>
  <c r="N45" i="5"/>
  <c r="L52" i="5"/>
  <c r="N50" i="5"/>
  <c r="L25" i="35" l="1"/>
  <c r="L103" i="18" l="1"/>
  <c r="L8" i="14" l="1"/>
  <c r="N39" i="4"/>
  <c r="L88" i="18"/>
  <c r="N7" i="4"/>
  <c r="L124" i="18"/>
  <c r="L46" i="7"/>
  <c r="L61" i="5"/>
  <c r="L52" i="7"/>
  <c r="N48" i="3"/>
  <c r="L82" i="5"/>
  <c r="N38" i="3"/>
  <c r="N27" i="35"/>
  <c r="N22" i="4"/>
  <c r="L28" i="32" l="1"/>
  <c r="N19" i="32"/>
  <c r="E70" i="35"/>
  <c r="N12" i="5" l="1"/>
  <c r="L12" i="5"/>
  <c r="E12" i="5"/>
  <c r="E14" i="5"/>
  <c r="E9" i="35" l="1"/>
  <c r="E10" i="35"/>
  <c r="L51" i="35" l="1"/>
  <c r="L71" i="35" l="1"/>
  <c r="N71" i="35"/>
  <c r="E64" i="35" l="1"/>
  <c r="E69" i="35" l="1"/>
  <c r="N69" i="35"/>
  <c r="L19" i="35" l="1"/>
  <c r="L16" i="35"/>
  <c r="E112" i="18"/>
  <c r="L112" i="18"/>
  <c r="N112" i="18"/>
  <c r="E75" i="35"/>
  <c r="N67" i="35"/>
  <c r="E67" i="35"/>
  <c r="N66" i="35"/>
  <c r="L66" i="35"/>
  <c r="E66" i="35"/>
  <c r="N65" i="35"/>
  <c r="L65" i="35"/>
  <c r="E65" i="35"/>
  <c r="E63" i="35"/>
  <c r="N62" i="35"/>
  <c r="L62" i="35"/>
  <c r="E62" i="35"/>
  <c r="E61" i="35"/>
  <c r="N60" i="35"/>
  <c r="L60" i="35"/>
  <c r="E60" i="35"/>
  <c r="N58" i="35"/>
  <c r="E58" i="35"/>
  <c r="N57" i="35"/>
  <c r="E57" i="35"/>
  <c r="N56" i="35"/>
  <c r="E56" i="35"/>
  <c r="N55" i="35"/>
  <c r="L55" i="35"/>
  <c r="E55" i="35"/>
  <c r="E53" i="35"/>
  <c r="N52" i="35"/>
  <c r="E52" i="35"/>
  <c r="E51" i="35"/>
  <c r="N50" i="35"/>
  <c r="L50" i="35"/>
  <c r="E50" i="35"/>
  <c r="N49" i="35"/>
  <c r="E49" i="35"/>
  <c r="N48" i="35"/>
  <c r="L48" i="35"/>
  <c r="E48" i="35"/>
  <c r="E76" i="35"/>
  <c r="L40" i="35"/>
  <c r="E79" i="35"/>
  <c r="E78" i="35"/>
  <c r="G77" i="35"/>
  <c r="E77" i="35"/>
  <c r="E72" i="35"/>
  <c r="E71" i="35"/>
  <c r="P73" i="35"/>
  <c r="E73" i="35"/>
  <c r="E46" i="35"/>
  <c r="N45" i="35"/>
  <c r="E45" i="35"/>
  <c r="E30" i="35"/>
  <c r="E29" i="35"/>
  <c r="E28" i="35"/>
  <c r="E27" i="35"/>
  <c r="L26" i="35"/>
  <c r="E26" i="35"/>
  <c r="E25" i="35"/>
  <c r="E24" i="35"/>
  <c r="E23" i="35"/>
  <c r="L22" i="35"/>
  <c r="E22" i="35"/>
  <c r="E21" i="35"/>
  <c r="E20" i="35"/>
  <c r="N19" i="35"/>
  <c r="E19" i="35"/>
  <c r="E18" i="35"/>
  <c r="E17" i="35"/>
  <c r="P16" i="35"/>
  <c r="N16" i="35"/>
  <c r="E16" i="35"/>
  <c r="N15" i="35"/>
  <c r="E15" i="35"/>
  <c r="E14" i="35"/>
  <c r="L12" i="35"/>
  <c r="E12" i="35"/>
  <c r="E8" i="35"/>
  <c r="E7" i="35"/>
  <c r="A2" i="35"/>
  <c r="R1" i="35"/>
  <c r="A1" i="35"/>
  <c r="N29" i="32" l="1"/>
  <c r="E29" i="32"/>
  <c r="N103" i="7"/>
  <c r="L103" i="7"/>
  <c r="L49" i="5" l="1"/>
  <c r="N54" i="3"/>
  <c r="L106" i="5"/>
  <c r="L100" i="7"/>
  <c r="N100" i="7"/>
  <c r="N29" i="3"/>
  <c r="N17" i="14"/>
  <c r="N101" i="18"/>
  <c r="N84" i="5" l="1"/>
  <c r="L102" i="5" l="1"/>
  <c r="N102" i="5"/>
  <c r="N101" i="5"/>
  <c r="N92" i="5"/>
  <c r="N79" i="5" l="1"/>
  <c r="N68" i="5"/>
  <c r="L68" i="5"/>
  <c r="N73" i="18"/>
  <c r="N90" i="18"/>
  <c r="L90" i="18"/>
  <c r="L93" i="18"/>
  <c r="N93" i="18"/>
  <c r="L133" i="18"/>
  <c r="L97" i="18"/>
  <c r="N107" i="18"/>
  <c r="L117" i="18"/>
  <c r="N117" i="18"/>
  <c r="L118" i="18"/>
  <c r="L119" i="18"/>
  <c r="N81" i="5" l="1"/>
  <c r="L22" i="5"/>
  <c r="L18" i="5"/>
  <c r="S48" i="3" l="1"/>
  <c r="S19" i="32" l="1"/>
  <c r="L8" i="5"/>
  <c r="N13" i="18"/>
  <c r="N11" i="4"/>
  <c r="L131" i="18"/>
  <c r="L54" i="3"/>
  <c r="N46" i="3"/>
  <c r="N115" i="18"/>
  <c r="N85" i="5"/>
  <c r="L9" i="4" l="1"/>
  <c r="L56" i="18" l="1"/>
  <c r="N30" i="34" l="1"/>
  <c r="E20" i="32"/>
  <c r="E13" i="32"/>
  <c r="E12" i="32"/>
  <c r="R1" i="34" l="1"/>
  <c r="A2" i="34"/>
  <c r="L35" i="34"/>
  <c r="L9" i="34"/>
  <c r="L8" i="34"/>
  <c r="N7" i="34"/>
  <c r="N77" i="34"/>
  <c r="N72" i="34"/>
  <c r="L72" i="34"/>
  <c r="L58" i="34"/>
  <c r="L57" i="34"/>
  <c r="S55" i="34"/>
  <c r="L52" i="34"/>
  <c r="N50" i="34"/>
  <c r="L46" i="34"/>
  <c r="N43" i="34"/>
  <c r="P10" i="28" l="1"/>
  <c r="P9" i="28"/>
  <c r="S47" i="5" l="1"/>
  <c r="S110" i="5"/>
  <c r="S80" i="5"/>
  <c r="P50" i="5"/>
  <c r="P29" i="5"/>
  <c r="S95" i="5"/>
  <c r="S18" i="7"/>
  <c r="S13" i="7"/>
  <c r="S55" i="3"/>
  <c r="P54" i="3"/>
  <c r="S51" i="3"/>
  <c r="P49" i="3"/>
  <c r="P11" i="3"/>
  <c r="S24" i="3"/>
  <c r="P21" i="3"/>
  <c r="P28" i="4"/>
  <c r="P36" i="4"/>
  <c r="S34" i="4"/>
  <c r="S18" i="4"/>
  <c r="S8" i="4"/>
  <c r="P86" i="18"/>
  <c r="P58" i="7"/>
  <c r="P47" i="7"/>
  <c r="L54" i="18" l="1"/>
  <c r="L43" i="5"/>
  <c r="L84" i="5"/>
  <c r="N98" i="5" l="1"/>
  <c r="L37" i="7"/>
  <c r="N105" i="18" l="1"/>
  <c r="N30" i="14" l="1"/>
  <c r="L37" i="18" l="1"/>
  <c r="N37" i="18"/>
  <c r="N38" i="18"/>
  <c r="N36" i="18"/>
  <c r="L33" i="18" l="1"/>
  <c r="L29" i="18"/>
  <c r="N29" i="18"/>
  <c r="N26" i="18"/>
  <c r="N25" i="18"/>
  <c r="L24" i="18"/>
  <c r="L17" i="18"/>
  <c r="N17" i="18"/>
  <c r="N16" i="18"/>
  <c r="N15" i="18"/>
  <c r="L13" i="18"/>
  <c r="L53" i="18" l="1"/>
  <c r="N108" i="18" l="1"/>
  <c r="N56" i="18"/>
  <c r="N26" i="5" l="1"/>
  <c r="N87" i="5"/>
  <c r="N153" i="18"/>
  <c r="N161" i="18"/>
  <c r="L161" i="18"/>
  <c r="L153" i="18"/>
  <c r="L45" i="7"/>
  <c r="N44" i="18"/>
  <c r="P94" i="7" l="1"/>
  <c r="N75" i="18" l="1"/>
  <c r="L74" i="18"/>
  <c r="N74" i="18"/>
  <c r="L75" i="18"/>
  <c r="L25" i="14" l="1"/>
  <c r="N31" i="14" l="1"/>
  <c r="L42" i="14" l="1"/>
  <c r="N105" i="5"/>
  <c r="L47" i="18"/>
  <c r="N28" i="5"/>
  <c r="N157" i="18"/>
  <c r="L101" i="5"/>
  <c r="N106" i="5"/>
  <c r="L65" i="5"/>
  <c r="L69" i="5"/>
  <c r="N100" i="5"/>
  <c r="N63" i="5"/>
  <c r="L91" i="18"/>
  <c r="L81" i="18"/>
  <c r="S56" i="3" l="1"/>
  <c r="N118" i="18" l="1"/>
  <c r="N89" i="7" l="1"/>
  <c r="P117" i="18" l="1"/>
  <c r="P18" i="18" l="1"/>
  <c r="E15" i="7" l="1"/>
  <c r="N40" i="5" l="1"/>
  <c r="P61" i="7" l="1"/>
  <c r="L72" i="5" l="1"/>
  <c r="S23" i="3" l="1"/>
  <c r="L105" i="5" l="1"/>
  <c r="L76" i="18"/>
  <c r="L80" i="3" l="1"/>
  <c r="N23" i="28" l="1"/>
  <c r="L23" i="28"/>
  <c r="E23" i="28"/>
  <c r="N22" i="28"/>
  <c r="L22" i="28"/>
  <c r="N21" i="28"/>
  <c r="L21" i="28"/>
  <c r="E20" i="28"/>
  <c r="E19" i="28"/>
  <c r="L13" i="28"/>
  <c r="E9" i="28"/>
  <c r="E7" i="28"/>
  <c r="A8" i="32" l="1"/>
  <c r="E14" i="7" l="1"/>
  <c r="L95" i="18" l="1"/>
  <c r="N95" i="18"/>
  <c r="E33" i="3" l="1"/>
  <c r="N109" i="18" l="1"/>
  <c r="L109" i="18"/>
  <c r="L6" i="4"/>
  <c r="N46" i="18" l="1"/>
  <c r="L97" i="7"/>
  <c r="N97" i="7" l="1"/>
  <c r="P35" i="14" l="1"/>
  <c r="P113" i="18"/>
  <c r="P80" i="7"/>
  <c r="P114" i="18"/>
  <c r="A9" i="32" l="1"/>
  <c r="B9" i="32"/>
  <c r="C9" i="32"/>
  <c r="D9" i="32"/>
  <c r="F9" i="32"/>
  <c r="G9" i="32"/>
  <c r="H9" i="32"/>
  <c r="I9" i="32"/>
  <c r="J9" i="32"/>
  <c r="K9" i="32"/>
  <c r="M9" i="32"/>
  <c r="N9" i="32"/>
  <c r="O9" i="32"/>
  <c r="P9" i="32"/>
  <c r="Q9" i="32"/>
  <c r="R9" i="32"/>
  <c r="S9" i="32"/>
  <c r="T9" i="32"/>
  <c r="U9" i="32"/>
  <c r="B8" i="32"/>
  <c r="C8" i="32"/>
  <c r="D8" i="32"/>
  <c r="F8" i="32"/>
  <c r="G8" i="32"/>
  <c r="H8" i="32"/>
  <c r="I8" i="32"/>
  <c r="J8" i="32"/>
  <c r="K8" i="32"/>
  <c r="L8" i="32"/>
  <c r="M8" i="32"/>
  <c r="N8" i="32"/>
  <c r="O8" i="32"/>
  <c r="P8" i="32"/>
  <c r="Q8" i="32"/>
  <c r="R8" i="32"/>
  <c r="S8" i="32"/>
  <c r="T8" i="32"/>
  <c r="U8" i="32"/>
  <c r="A7" i="32" l="1"/>
  <c r="B7" i="32"/>
  <c r="C7" i="32"/>
  <c r="D7" i="32"/>
  <c r="F7" i="32"/>
  <c r="G7" i="32"/>
  <c r="H7" i="32"/>
  <c r="I7" i="32"/>
  <c r="J7" i="32"/>
  <c r="K7" i="32"/>
  <c r="L7" i="32"/>
  <c r="M7" i="32"/>
  <c r="N7" i="32"/>
  <c r="O7" i="32"/>
  <c r="P7" i="32"/>
  <c r="Q7" i="32"/>
  <c r="R7" i="32"/>
  <c r="S7" i="32"/>
  <c r="T7" i="32"/>
  <c r="U7" i="32"/>
  <c r="A6" i="32"/>
  <c r="B6" i="32"/>
  <c r="C6" i="32"/>
  <c r="D6" i="32"/>
  <c r="F6" i="32"/>
  <c r="G6" i="32"/>
  <c r="H6" i="32"/>
  <c r="I6" i="32"/>
  <c r="J6" i="32"/>
  <c r="K6" i="32"/>
  <c r="L6" i="32"/>
  <c r="M6" i="32"/>
  <c r="N6" i="32"/>
  <c r="O6" i="32"/>
  <c r="P6" i="32"/>
  <c r="Q6" i="32"/>
  <c r="R6" i="32"/>
  <c r="S6" i="32"/>
  <c r="T6" i="32"/>
  <c r="U6" i="32"/>
  <c r="E107" i="18" l="1"/>
  <c r="E106" i="18"/>
  <c r="P93" i="7" l="1"/>
  <c r="E43" i="3" l="1"/>
  <c r="E10" i="3" l="1"/>
  <c r="E11" i="3"/>
  <c r="E13" i="3"/>
  <c r="P95" i="7" l="1"/>
  <c r="E92" i="5" l="1"/>
  <c r="L107" i="18" l="1"/>
  <c r="L126" i="18" l="1"/>
  <c r="N126" i="18"/>
  <c r="L14" i="18" l="1"/>
  <c r="E119" i="18" l="1"/>
  <c r="P23" i="5" l="1"/>
  <c r="P17" i="3"/>
  <c r="S29" i="7"/>
  <c r="S26" i="7" l="1"/>
  <c r="S23" i="7"/>
  <c r="S8" i="3"/>
  <c r="L85" i="5" l="1"/>
  <c r="L42" i="5" l="1"/>
  <c r="L25" i="5"/>
  <c r="L29" i="5"/>
  <c r="N30" i="5"/>
  <c r="L23" i="5"/>
  <c r="N11" i="7" l="1"/>
  <c r="N32" i="7"/>
  <c r="N25" i="7"/>
  <c r="L13" i="7"/>
  <c r="N98" i="7" l="1"/>
  <c r="L98" i="7"/>
  <c r="N34" i="18"/>
  <c r="L101" i="18"/>
  <c r="N59" i="18" l="1"/>
  <c r="S25" i="18" l="1"/>
  <c r="S18" i="18"/>
  <c r="S28" i="18" l="1"/>
  <c r="A2" i="32" l="1"/>
  <c r="E136" i="18" l="1"/>
  <c r="E135" i="18"/>
  <c r="E134" i="18"/>
  <c r="E133" i="18"/>
  <c r="E132" i="18"/>
  <c r="E131" i="18"/>
  <c r="E130" i="18"/>
  <c r="E129" i="18"/>
  <c r="E128" i="18"/>
  <c r="E127" i="18"/>
  <c r="E126" i="18"/>
  <c r="E125" i="18"/>
  <c r="E124" i="18"/>
  <c r="E123" i="18"/>
  <c r="E122" i="18"/>
  <c r="E121" i="18"/>
  <c r="E120" i="18"/>
  <c r="E118" i="18"/>
  <c r="E117" i="18"/>
  <c r="E116" i="18"/>
  <c r="E115" i="18"/>
  <c r="E114" i="18"/>
  <c r="E113" i="18"/>
  <c r="E111" i="18"/>
  <c r="E110" i="18"/>
  <c r="E109" i="18"/>
  <c r="E108" i="18"/>
  <c r="E105" i="18"/>
  <c r="E104" i="18"/>
  <c r="E103" i="18"/>
  <c r="E102" i="18"/>
  <c r="E101" i="18"/>
  <c r="E100" i="18"/>
  <c r="E99" i="18"/>
  <c r="E98" i="18"/>
  <c r="E97" i="18"/>
  <c r="E26" i="32" l="1"/>
  <c r="E28" i="32"/>
  <c r="E17" i="32"/>
  <c r="S78" i="5"/>
  <c r="N116" i="18" l="1"/>
  <c r="N43" i="5"/>
  <c r="N112" i="5"/>
  <c r="L81" i="3"/>
  <c r="L18" i="18"/>
  <c r="L39" i="14" l="1"/>
  <c r="L91" i="5"/>
  <c r="L160" i="18"/>
  <c r="L162" i="18"/>
  <c r="N129" i="18" l="1"/>
  <c r="L129" i="18"/>
  <c r="L110" i="18" l="1"/>
  <c r="N162" i="18" l="1"/>
  <c r="L79" i="18" l="1"/>
  <c r="N27" i="7"/>
  <c r="L122" i="18"/>
  <c r="L45" i="18"/>
  <c r="L17" i="14" l="1"/>
  <c r="L31" i="14" l="1"/>
  <c r="L94" i="7" l="1"/>
  <c r="L70" i="18" l="1"/>
  <c r="P18" i="5" l="1"/>
  <c r="E13" i="5"/>
  <c r="E7" i="5"/>
  <c r="A2" i="3" l="1"/>
  <c r="S83" i="3" l="1"/>
  <c r="S66" i="3"/>
  <c r="S73" i="3"/>
  <c r="L44" i="18" l="1"/>
  <c r="E153" i="18" l="1"/>
  <c r="E161" i="18"/>
  <c r="N65" i="7" l="1"/>
  <c r="N47" i="5"/>
  <c r="L74" i="5"/>
  <c r="L67" i="7" l="1"/>
  <c r="N41" i="18"/>
  <c r="L79" i="5" l="1"/>
  <c r="N81" i="18" l="1"/>
  <c r="L31" i="5"/>
  <c r="N17" i="5"/>
  <c r="L17" i="5"/>
  <c r="L37" i="5"/>
  <c r="N37" i="5"/>
  <c r="L112" i="5"/>
  <c r="N86" i="5"/>
  <c r="L81" i="5"/>
  <c r="L9" i="32" l="1"/>
  <c r="P124" i="18"/>
  <c r="S28" i="5"/>
  <c r="P22" i="14"/>
  <c r="P82" i="3"/>
  <c r="P65" i="3"/>
  <c r="P28" i="32" l="1"/>
  <c r="L125" i="18"/>
  <c r="L26" i="32" l="1"/>
  <c r="L135" i="18" l="1"/>
  <c r="P45" i="7" l="1"/>
  <c r="L157" i="18" l="1"/>
  <c r="L89" i="7"/>
  <c r="N81" i="7" l="1"/>
  <c r="L21" i="14"/>
  <c r="N164" i="18" l="1"/>
  <c r="N64" i="18" l="1"/>
  <c r="N19" i="18"/>
  <c r="N23" i="5" l="1"/>
  <c r="N70" i="5"/>
  <c r="L33" i="5" l="1"/>
  <c r="N36" i="5"/>
  <c r="L36" i="5"/>
  <c r="E36" i="5"/>
  <c r="E28" i="5"/>
  <c r="L22" i="14" l="1"/>
  <c r="N80" i="5"/>
  <c r="L40" i="5"/>
  <c r="A2" i="28" l="1"/>
  <c r="R1" i="28"/>
  <c r="A1" i="28"/>
  <c r="L7" i="14" l="1"/>
  <c r="L121" i="18" l="1"/>
  <c r="L49" i="18"/>
  <c r="E12" i="7" l="1"/>
  <c r="E11" i="7"/>
  <c r="E21" i="7"/>
  <c r="E68" i="18" l="1"/>
  <c r="E66" i="18"/>
  <c r="E65" i="18"/>
  <c r="E64" i="18"/>
  <c r="E63" i="18"/>
  <c r="E62" i="18"/>
  <c r="E61" i="18"/>
  <c r="E60" i="18"/>
  <c r="E59" i="18"/>
  <c r="E58" i="18"/>
  <c r="E57" i="18"/>
  <c r="E56" i="18"/>
  <c r="E55" i="18"/>
  <c r="E54" i="18"/>
  <c r="E53" i="18"/>
  <c r="E52" i="18"/>
  <c r="E51" i="18"/>
  <c r="E50" i="18"/>
  <c r="E49" i="18"/>
  <c r="E48" i="18"/>
  <c r="E47" i="18"/>
  <c r="E46" i="18"/>
  <c r="E45" i="18"/>
  <c r="E44" i="18"/>
  <c r="E43" i="18"/>
  <c r="E42" i="18"/>
  <c r="E41" i="18"/>
  <c r="E39" i="18"/>
  <c r="E38" i="18"/>
  <c r="E37" i="18"/>
  <c r="E36" i="18"/>
  <c r="E35" i="18"/>
  <c r="E34" i="18"/>
  <c r="E33" i="18"/>
  <c r="E32" i="18"/>
  <c r="E31" i="18"/>
  <c r="E30" i="18"/>
  <c r="E29" i="18"/>
  <c r="E28" i="18"/>
  <c r="E27" i="18"/>
  <c r="E26" i="18"/>
  <c r="E25" i="18"/>
  <c r="E24" i="18"/>
  <c r="E23" i="18"/>
  <c r="E22" i="18"/>
  <c r="E21" i="18"/>
  <c r="E20" i="18"/>
  <c r="E19" i="18"/>
  <c r="E18" i="18"/>
  <c r="E17" i="18"/>
  <c r="E16" i="18"/>
  <c r="E15" i="18"/>
  <c r="E14" i="18"/>
  <c r="E13" i="18"/>
  <c r="E12" i="18"/>
  <c r="N13" i="7" l="1"/>
  <c r="N16" i="7"/>
  <c r="N39" i="5" l="1"/>
  <c r="N27" i="5"/>
  <c r="L27" i="5"/>
  <c r="N19" i="14"/>
  <c r="N125" i="18" l="1"/>
  <c r="L164" i="18"/>
  <c r="L163" i="18"/>
  <c r="N26" i="32" l="1"/>
  <c r="N42" i="18"/>
  <c r="S162" i="18" l="1"/>
  <c r="S9" i="3"/>
  <c r="S36" i="4"/>
  <c r="N31" i="18" l="1"/>
  <c r="N113" i="5"/>
  <c r="L113" i="5"/>
  <c r="L54" i="5" l="1"/>
  <c r="N88" i="18"/>
  <c r="N8" i="5"/>
  <c r="L42" i="18"/>
  <c r="P22" i="3"/>
  <c r="L24" i="5"/>
  <c r="N45" i="18" l="1"/>
  <c r="N120" i="18"/>
  <c r="N17" i="32" l="1"/>
  <c r="N155" i="18"/>
  <c r="L155" i="18"/>
  <c r="E155" i="18"/>
  <c r="N25" i="5" l="1"/>
  <c r="L26" i="5"/>
  <c r="L77" i="5"/>
  <c r="P19" i="3" l="1"/>
  <c r="P11" i="5"/>
  <c r="L78" i="5" l="1"/>
  <c r="P78" i="5" l="1"/>
  <c r="L35" i="5" l="1"/>
  <c r="N103" i="5" l="1"/>
  <c r="L103" i="5"/>
  <c r="N78" i="18" l="1"/>
  <c r="L62" i="5"/>
  <c r="L92" i="18"/>
  <c r="N131" i="18" l="1"/>
  <c r="N22" i="5"/>
  <c r="L78" i="18" l="1"/>
  <c r="N26" i="7" l="1"/>
  <c r="N18" i="7"/>
  <c r="N82" i="5" l="1"/>
  <c r="S22" i="3" l="1"/>
  <c r="N86" i="18" l="1"/>
  <c r="L70" i="5"/>
  <c r="N67" i="5" l="1"/>
  <c r="N71" i="5"/>
  <c r="L59" i="18" l="1"/>
  <c r="L120" i="18" l="1"/>
  <c r="L17" i="32" l="1"/>
  <c r="P120" i="18"/>
  <c r="P17" i="32" l="1"/>
  <c r="S19" i="14"/>
  <c r="E90" i="18" l="1"/>
  <c r="L102" i="18" l="1"/>
  <c r="N114" i="18" l="1"/>
  <c r="L104" i="5" l="1"/>
  <c r="L97" i="5" l="1"/>
  <c r="L108" i="5" l="1"/>
  <c r="L102" i="7"/>
  <c r="N102" i="7"/>
  <c r="E102" i="7" l="1"/>
  <c r="L80" i="18" l="1"/>
  <c r="L83" i="5" l="1"/>
  <c r="E79" i="18" l="1"/>
  <c r="E80" i="18"/>
  <c r="N31" i="5" l="1"/>
  <c r="N38" i="5" l="1"/>
  <c r="L38" i="5"/>
  <c r="E38" i="5"/>
  <c r="E37" i="5"/>
  <c r="N35" i="5"/>
  <c r="E35" i="5"/>
  <c r="N34" i="5"/>
  <c r="E34" i="5"/>
  <c r="E33" i="5"/>
  <c r="N32" i="5"/>
  <c r="L32" i="5"/>
  <c r="E32" i="5"/>
  <c r="E31" i="5"/>
  <c r="L30" i="5"/>
  <c r="E30" i="5"/>
  <c r="E29" i="5"/>
  <c r="E15" i="5"/>
  <c r="E27" i="5"/>
  <c r="E11" i="5"/>
  <c r="E26" i="5"/>
  <c r="P10" i="5"/>
  <c r="E10" i="5"/>
  <c r="E25" i="5"/>
  <c r="N24" i="5"/>
  <c r="E24" i="5"/>
  <c r="P9" i="5"/>
  <c r="E9" i="5"/>
  <c r="E23" i="5"/>
  <c r="E8" i="5"/>
  <c r="E22" i="5"/>
  <c r="N78" i="5" l="1"/>
  <c r="N26" i="14"/>
  <c r="N61" i="3" l="1"/>
  <c r="L82" i="7"/>
  <c r="L64" i="5"/>
  <c r="N82" i="7" l="1"/>
  <c r="L94" i="18"/>
  <c r="N76" i="18" l="1"/>
  <c r="N69" i="5" l="1"/>
  <c r="N49" i="7" l="1"/>
  <c r="L40" i="14" l="1"/>
  <c r="L130" i="18"/>
  <c r="L94" i="5"/>
  <c r="N53" i="7" l="1"/>
  <c r="L49" i="7" l="1"/>
  <c r="N15" i="3" l="1"/>
  <c r="P89" i="18" l="1"/>
  <c r="N52" i="7" l="1"/>
  <c r="L41" i="5" l="1"/>
  <c r="N130" i="18" l="1"/>
  <c r="E85" i="5" l="1"/>
  <c r="E82" i="5"/>
  <c r="P79" i="5" l="1"/>
  <c r="A2" i="4" l="1"/>
  <c r="A2" i="5"/>
  <c r="A2" i="7"/>
  <c r="A2" i="18"/>
  <c r="A2" i="14"/>
  <c r="L86" i="5" l="1"/>
  <c r="N124" i="18" l="1"/>
  <c r="N62" i="18"/>
  <c r="N37" i="7"/>
  <c r="L67" i="5"/>
  <c r="L63" i="5"/>
  <c r="N49" i="5"/>
  <c r="N28" i="14"/>
  <c r="E80" i="5"/>
  <c r="N28" i="32" l="1"/>
  <c r="N110" i="18"/>
  <c r="N163" i="18" l="1"/>
  <c r="L132" i="18" l="1"/>
  <c r="N121" i="18" l="1"/>
  <c r="L108" i="18"/>
  <c r="N102" i="18"/>
  <c r="L100" i="18"/>
  <c r="N98" i="18"/>
  <c r="N85" i="18"/>
  <c r="N82" i="18"/>
  <c r="L82" i="18"/>
  <c r="L71" i="5" l="1"/>
  <c r="S57" i="3" l="1"/>
  <c r="L19" i="7" l="1"/>
  <c r="E84" i="5" l="1"/>
  <c r="E81" i="5"/>
  <c r="P20" i="5"/>
  <c r="L96" i="5" l="1"/>
  <c r="N32" i="14" l="1"/>
  <c r="S107" i="5" l="1"/>
  <c r="N66" i="5" l="1"/>
  <c r="P133" i="18" l="1"/>
  <c r="E7" i="7" l="1"/>
  <c r="E26" i="3" l="1"/>
  <c r="E20" i="7" l="1"/>
  <c r="E19" i="7"/>
  <c r="E18" i="7"/>
  <c r="E17" i="7"/>
  <c r="E16" i="7"/>
  <c r="E13" i="7"/>
  <c r="N135" i="18" l="1"/>
  <c r="L98" i="18" l="1"/>
  <c r="E36" i="3" l="1"/>
  <c r="L50" i="7" l="1"/>
  <c r="L30" i="14" l="1"/>
  <c r="E163" i="18" l="1"/>
  <c r="E162" i="18"/>
  <c r="E51" i="7" l="1"/>
  <c r="N50" i="7" l="1"/>
  <c r="E52" i="7"/>
  <c r="L31" i="18" l="1"/>
  <c r="N83" i="5" l="1"/>
  <c r="L83" i="7" l="1"/>
  <c r="N100" i="18" l="1"/>
  <c r="L41" i="18"/>
  <c r="N60" i="18" l="1"/>
  <c r="L60" i="18"/>
  <c r="L89" i="5" l="1"/>
  <c r="N99" i="5" l="1"/>
  <c r="N42" i="5" l="1"/>
  <c r="N73" i="5" l="1"/>
  <c r="N54" i="5" l="1"/>
  <c r="P39" i="14" l="1"/>
  <c r="P36" i="14"/>
  <c r="P66" i="7"/>
  <c r="E21" i="14" l="1"/>
  <c r="N72" i="5" l="1"/>
  <c r="E32" i="7" l="1"/>
  <c r="L66" i="5" l="1"/>
  <c r="L32" i="14" l="1"/>
  <c r="E158" i="18" l="1"/>
  <c r="N62" i="5" l="1"/>
  <c r="A1" i="18" l="1"/>
  <c r="N70" i="18" l="1"/>
  <c r="N65" i="5" l="1"/>
  <c r="N64" i="5" l="1"/>
  <c r="L114" i="18" l="1"/>
  <c r="N111" i="5" l="1"/>
  <c r="E34" i="3" l="1"/>
  <c r="E65" i="3" l="1"/>
  <c r="N108" i="5" l="1"/>
  <c r="L26" i="18" l="1"/>
  <c r="N88" i="5" l="1"/>
  <c r="L99" i="7" l="1"/>
  <c r="N92" i="18" l="1"/>
  <c r="N48" i="5" l="1"/>
  <c r="N96" i="5" l="1"/>
  <c r="E152" i="18" l="1"/>
  <c r="E33" i="32" l="1"/>
  <c r="L43" i="18"/>
  <c r="L99" i="5"/>
  <c r="N77" i="5"/>
  <c r="N41" i="5"/>
  <c r="N99" i="7" l="1"/>
  <c r="N94" i="5" l="1"/>
  <c r="E8" i="7" l="1"/>
  <c r="E99" i="7" l="1"/>
  <c r="E100" i="7"/>
  <c r="N36" i="7" l="1"/>
  <c r="E157" i="18" l="1"/>
  <c r="E81" i="7" l="1"/>
  <c r="E91" i="18" l="1"/>
  <c r="L85" i="18" l="1"/>
  <c r="N91" i="5" l="1"/>
  <c r="E164" i="18" l="1"/>
  <c r="E160" i="18"/>
  <c r="E156" i="18"/>
  <c r="E154" i="18"/>
  <c r="N33" i="14" l="1"/>
  <c r="E87" i="18" l="1"/>
  <c r="E28" i="3" l="1"/>
  <c r="E89" i="7" l="1"/>
  <c r="N83" i="7" l="1"/>
  <c r="E23" i="7" l="1"/>
  <c r="E37" i="3" l="1"/>
  <c r="N99" i="18" l="1"/>
  <c r="E25" i="3" l="1"/>
  <c r="E22" i="3"/>
  <c r="E30" i="3"/>
  <c r="E33" i="7"/>
  <c r="N97" i="5" l="1"/>
  <c r="E82" i="18"/>
  <c r="E62" i="7"/>
  <c r="E57" i="3"/>
  <c r="E66" i="3"/>
  <c r="E94" i="5"/>
  <c r="E68" i="3"/>
  <c r="E95" i="7"/>
  <c r="E49" i="3"/>
  <c r="E61" i="7"/>
  <c r="E42" i="7"/>
  <c r="E24" i="14"/>
  <c r="E21" i="3"/>
  <c r="E8" i="3"/>
  <c r="E27" i="7"/>
  <c r="N49" i="18"/>
  <c r="E19" i="3"/>
  <c r="L33" i="14"/>
  <c r="E33" i="14"/>
  <c r="E32" i="14"/>
  <c r="E31" i="14"/>
  <c r="E30" i="14"/>
  <c r="E26" i="7"/>
  <c r="E93" i="5"/>
  <c r="E88" i="7"/>
  <c r="E90" i="7"/>
  <c r="E25" i="7"/>
  <c r="E52" i="3"/>
  <c r="E42" i="3"/>
  <c r="E27" i="3"/>
  <c r="E28" i="7"/>
  <c r="E17" i="3"/>
  <c r="E53" i="3"/>
  <c r="E74" i="3"/>
  <c r="E6" i="3"/>
  <c r="E20" i="3"/>
  <c r="E10" i="14"/>
  <c r="E59" i="5"/>
  <c r="E29" i="3"/>
  <c r="E44" i="7"/>
  <c r="E39" i="7"/>
  <c r="E16" i="3"/>
  <c r="E48" i="7"/>
  <c r="E56" i="7"/>
  <c r="E25" i="14"/>
  <c r="E17" i="14"/>
  <c r="L16" i="18"/>
  <c r="E55" i="3"/>
  <c r="E32" i="3"/>
  <c r="E45" i="3"/>
  <c r="E44" i="3"/>
  <c r="E55" i="7"/>
  <c r="A1" i="3"/>
  <c r="R1" i="3"/>
  <c r="E11" i="14"/>
  <c r="E63" i="3"/>
  <c r="E72" i="3"/>
  <c r="L64" i="7"/>
  <c r="L60" i="7"/>
  <c r="E93" i="7"/>
  <c r="E14" i="14"/>
  <c r="E64" i="3"/>
  <c r="E73" i="3"/>
  <c r="E92" i="7"/>
  <c r="E34" i="7"/>
  <c r="E9" i="7"/>
  <c r="E31" i="7"/>
  <c r="E30" i="7"/>
  <c r="E29" i="7"/>
  <c r="E24" i="7"/>
  <c r="E60" i="3"/>
  <c r="E64" i="7"/>
  <c r="E58" i="3"/>
  <c r="E69" i="3"/>
  <c r="E70" i="3"/>
  <c r="E51" i="3"/>
  <c r="E31" i="3"/>
  <c r="E59" i="3"/>
  <c r="E56" i="3"/>
  <c r="E62" i="3"/>
  <c r="E23" i="3"/>
  <c r="E67" i="3"/>
  <c r="E61" i="3"/>
  <c r="E18" i="3"/>
  <c r="E75" i="3"/>
  <c r="E35" i="3"/>
  <c r="E64" i="5"/>
  <c r="E41" i="3"/>
  <c r="E79" i="5"/>
  <c r="E23" i="14"/>
  <c r="E22" i="14"/>
  <c r="E15" i="14"/>
  <c r="E8" i="14"/>
  <c r="E46" i="7"/>
  <c r="E7" i="3"/>
  <c r="E12" i="3"/>
  <c r="E24" i="3"/>
  <c r="E47" i="3"/>
  <c r="E26" i="14"/>
  <c r="L26" i="14"/>
  <c r="E71" i="3"/>
  <c r="E50" i="3"/>
  <c r="E50" i="7"/>
  <c r="E53" i="7"/>
  <c r="E94" i="7"/>
  <c r="E78" i="5"/>
  <c r="E91" i="7"/>
  <c r="E97" i="7"/>
  <c r="E60" i="5"/>
  <c r="E61" i="5"/>
  <c r="E86" i="5"/>
  <c r="E83" i="5"/>
  <c r="E98" i="7"/>
  <c r="E60" i="7"/>
  <c r="R1" i="18"/>
  <c r="E48" i="3"/>
  <c r="E12" i="14"/>
  <c r="L53" i="5"/>
  <c r="N75" i="3"/>
  <c r="L75" i="3"/>
  <c r="N70" i="7"/>
  <c r="L70" i="7"/>
  <c r="N69" i="7"/>
  <c r="L69" i="7"/>
  <c r="E68" i="7"/>
  <c r="E69" i="7"/>
  <c r="E63" i="7"/>
  <c r="E83" i="7"/>
  <c r="E82" i="7"/>
  <c r="E80" i="7"/>
  <c r="E13" i="14"/>
  <c r="E18" i="14"/>
  <c r="E65" i="7"/>
  <c r="E16" i="14"/>
  <c r="E19" i="14"/>
  <c r="E20" i="14"/>
  <c r="E49" i="7"/>
  <c r="E38" i="7"/>
  <c r="A1" i="5"/>
  <c r="R1" i="5"/>
  <c r="E70" i="7"/>
  <c r="E9" i="14"/>
  <c r="E88" i="5"/>
  <c r="A1" i="14"/>
  <c r="R1" i="14"/>
  <c r="E7" i="14"/>
  <c r="E66" i="7"/>
  <c r="E77" i="5"/>
  <c r="E62" i="5"/>
  <c r="E15" i="3"/>
  <c r="E87" i="5"/>
  <c r="A1" i="7"/>
  <c r="R1" i="7"/>
  <c r="E36" i="7"/>
  <c r="E37" i="7"/>
  <c r="E40" i="7"/>
  <c r="E41" i="7"/>
  <c r="E43" i="7"/>
  <c r="E45" i="7"/>
  <c r="E47" i="7"/>
  <c r="E54" i="7"/>
  <c r="E57" i="7"/>
  <c r="E58" i="7"/>
  <c r="E59" i="7"/>
  <c r="E67" i="7"/>
  <c r="E89" i="5"/>
  <c r="E90" i="5"/>
  <c r="E91" i="5"/>
  <c r="E58" i="5"/>
  <c r="E63" i="5"/>
  <c r="A1" i="4"/>
  <c r="R1" i="4"/>
  <c r="E9" i="3"/>
  <c r="E38" i="3"/>
  <c r="E40" i="3"/>
  <c r="E46" i="3"/>
  <c r="E54" i="3"/>
  <c r="E22" i="32" l="1"/>
  <c r="E19" i="32"/>
  <c r="E11" i="32"/>
  <c r="E7" i="32"/>
  <c r="E6" i="32"/>
  <c r="E9" i="32"/>
  <c r="E8" i="32"/>
</calcChain>
</file>

<file path=xl/sharedStrings.xml><?xml version="1.0" encoding="utf-8"?>
<sst xmlns="http://schemas.openxmlformats.org/spreadsheetml/2006/main" count="8842" uniqueCount="1208">
  <si>
    <t>Index of Spreadsheets</t>
  </si>
  <si>
    <t>EFp</t>
  </si>
  <si>
    <t>EFz</t>
  </si>
  <si>
    <t>Notation - Spreadsheet Columns</t>
  </si>
  <si>
    <t xml:space="preserve">f </t>
  </si>
  <si>
    <t>wt</t>
  </si>
  <si>
    <t>price category for "Excellent" condition items</t>
  </si>
  <si>
    <t>M-  to  N</t>
  </si>
  <si>
    <t>price category for "near Mint" to "New" condition items</t>
  </si>
  <si>
    <t>f/</t>
  </si>
  <si>
    <t>maximum aperture (lens wide open), f/ = a.max = minimum F-stop number (e.g. f/1.4)</t>
  </si>
  <si>
    <t>mt</t>
  </si>
  <si>
    <t>Dmin</t>
  </si>
  <si>
    <t>Canon lens specs are from Canon's Canada and US web sites for current and some recent products.</t>
  </si>
  <si>
    <t xml:space="preserve"> </t>
  </si>
  <si>
    <t>eBay</t>
  </si>
  <si>
    <t>other suppliers</t>
  </si>
  <si>
    <t xml:space="preserve">      M-  to  N</t>
  </si>
  <si>
    <t>(mm)</t>
  </si>
  <si>
    <t>(kg)</t>
  </si>
  <si>
    <t>$US</t>
  </si>
  <si>
    <t>date</t>
  </si>
  <si>
    <t>site</t>
  </si>
  <si>
    <t>Sch-K</t>
  </si>
  <si>
    <t>mpex</t>
  </si>
  <si>
    <t>Nikon</t>
  </si>
  <si>
    <t>igor</t>
  </si>
  <si>
    <t>camW</t>
  </si>
  <si>
    <t>keh</t>
  </si>
  <si>
    <t>x</t>
  </si>
  <si>
    <t>b&amp;h</t>
  </si>
  <si>
    <t>ado</t>
  </si>
  <si>
    <t>Carl Zeiss</t>
  </si>
  <si>
    <t>v.v</t>
  </si>
  <si>
    <t>(m)</t>
  </si>
  <si>
    <t>Canon</t>
  </si>
  <si>
    <t>EF</t>
  </si>
  <si>
    <t>rg</t>
  </si>
  <si>
    <t>48 di</t>
  </si>
  <si>
    <t>EF 200/2.8 L II USM</t>
  </si>
  <si>
    <t>52 di</t>
  </si>
  <si>
    <t>EF 400/2.8 L II USM</t>
  </si>
  <si>
    <t>16-35</t>
  </si>
  <si>
    <t>26-56</t>
  </si>
  <si>
    <t>17-35</t>
  </si>
  <si>
    <t>27-56</t>
  </si>
  <si>
    <t>17-40</t>
  </si>
  <si>
    <t>27-64</t>
  </si>
  <si>
    <t>20-35</t>
  </si>
  <si>
    <t>32-56</t>
  </si>
  <si>
    <t>24-70</t>
  </si>
  <si>
    <t>38-110</t>
  </si>
  <si>
    <t>24-105</t>
  </si>
  <si>
    <t>38-168</t>
  </si>
  <si>
    <t>28-70</t>
  </si>
  <si>
    <t>45-110</t>
  </si>
  <si>
    <t>28-80</t>
  </si>
  <si>
    <t>2.8-4</t>
  </si>
  <si>
    <t>45-128</t>
  </si>
  <si>
    <t>70-200</t>
  </si>
  <si>
    <t>110-320</t>
  </si>
  <si>
    <t>80-200</t>
  </si>
  <si>
    <t>128-320</t>
  </si>
  <si>
    <t>1.8</t>
  </si>
  <si>
    <t>28-300</t>
  </si>
  <si>
    <t>3.5-5.6</t>
  </si>
  <si>
    <t>45-420</t>
  </si>
  <si>
    <t>35-350</t>
  </si>
  <si>
    <t>56-560</t>
  </si>
  <si>
    <t>50-200</t>
  </si>
  <si>
    <t>3.5-4.5</t>
  </si>
  <si>
    <t>80-320</t>
  </si>
  <si>
    <t>100-300</t>
  </si>
  <si>
    <t>160-420</t>
  </si>
  <si>
    <t>100-400</t>
  </si>
  <si>
    <t>4.5-5.6</t>
  </si>
  <si>
    <t>160-640</t>
  </si>
  <si>
    <t>10-22</t>
  </si>
  <si>
    <t>EF-S</t>
  </si>
  <si>
    <t xml:space="preserve">EF 70-300/4-5.6 IS USM </t>
  </si>
  <si>
    <t>70-300</t>
  </si>
  <si>
    <t>4-5.6</t>
  </si>
  <si>
    <t>110-420</t>
  </si>
  <si>
    <t xml:space="preserve">EF 70-300/4.5-5.6 DO IS USM </t>
  </si>
  <si>
    <t>Sigma</t>
  </si>
  <si>
    <t>bi</t>
  </si>
  <si>
    <t>12-24</t>
  </si>
  <si>
    <t>19-38</t>
  </si>
  <si>
    <t>20-40</t>
  </si>
  <si>
    <t>32-64</t>
  </si>
  <si>
    <t>38-112</t>
  </si>
  <si>
    <t>45-112</t>
  </si>
  <si>
    <t>50-500</t>
  </si>
  <si>
    <t>4-6.5</t>
  </si>
  <si>
    <t>80-800</t>
  </si>
  <si>
    <t>1-3</t>
  </si>
  <si>
    <t>86c</t>
  </si>
  <si>
    <t>112-320</t>
  </si>
  <si>
    <t>120-300</t>
  </si>
  <si>
    <t>192-480</t>
  </si>
  <si>
    <t>300-800</t>
  </si>
  <si>
    <t>480-1280</t>
  </si>
  <si>
    <t>46di</t>
  </si>
  <si>
    <t>Tamron</t>
  </si>
  <si>
    <t>A2</t>
  </si>
  <si>
    <t>2.7-3.5</t>
  </si>
  <si>
    <t>28-75</t>
  </si>
  <si>
    <t>28-105</t>
  </si>
  <si>
    <t>70-210</t>
  </si>
  <si>
    <t>200-400</t>
  </si>
  <si>
    <t>200-500</t>
  </si>
  <si>
    <t>Tokina</t>
  </si>
  <si>
    <t>24-40</t>
  </si>
  <si>
    <t>2.6-2.8</t>
  </si>
  <si>
    <t>35-70</t>
  </si>
  <si>
    <t>K</t>
  </si>
  <si>
    <t>M42</t>
  </si>
  <si>
    <t>Pentax</t>
  </si>
  <si>
    <t>KA</t>
  </si>
  <si>
    <t>SMC Pentax 500/4.5 (ma)</t>
  </si>
  <si>
    <t>3.5</t>
  </si>
  <si>
    <t>4</t>
  </si>
  <si>
    <t>-</t>
  </si>
  <si>
    <t>b.i.</t>
  </si>
  <si>
    <t>LR</t>
  </si>
  <si>
    <t>Super Angulon R 21mm f/4</t>
  </si>
  <si>
    <t>Nikkor 15/3.5</t>
  </si>
  <si>
    <t>AIS</t>
  </si>
  <si>
    <t>Nikkor 18/3.5</t>
  </si>
  <si>
    <t>Nikkor 20/2.8</t>
  </si>
  <si>
    <t>Nikkor 85/1.4 AIS</t>
  </si>
  <si>
    <t>Nikkor 105/1.8 AIS</t>
  </si>
  <si>
    <t>rf</t>
  </si>
  <si>
    <t>Schneider</t>
  </si>
  <si>
    <t>Yashinon macro</t>
  </si>
  <si>
    <t>Voigtlander</t>
  </si>
  <si>
    <t>Extender EF 1.4x</t>
  </si>
  <si>
    <t>Extender EF 1.4x II</t>
  </si>
  <si>
    <t>Extender EF 2x</t>
  </si>
  <si>
    <t>Extender EF 2x II</t>
  </si>
  <si>
    <t>Comparison Page</t>
  </si>
  <si>
    <r>
      <t xml:space="preserve">filter diameter (mm), </t>
    </r>
    <r>
      <rPr>
        <b/>
        <sz val="10"/>
        <rFont val="Arial"/>
        <family val="2"/>
      </rPr>
      <t>rg</t>
    </r>
    <r>
      <rPr>
        <sz val="10"/>
        <rFont val="Arial"/>
        <family val="2"/>
      </rPr>
      <t xml:space="preserve"> = rear gel, </t>
    </r>
    <r>
      <rPr>
        <b/>
        <sz val="10"/>
        <rFont val="Arial"/>
        <family val="2"/>
      </rPr>
      <t xml:space="preserve">bi </t>
    </r>
    <r>
      <rPr>
        <sz val="10"/>
        <rFont val="Arial"/>
        <family val="2"/>
      </rPr>
      <t xml:space="preserve">= built in, </t>
    </r>
    <r>
      <rPr>
        <b/>
        <sz val="10"/>
        <rFont val="Arial"/>
        <family val="2"/>
      </rPr>
      <t xml:space="preserve">di </t>
    </r>
    <r>
      <rPr>
        <sz val="10"/>
        <rFont val="Arial"/>
        <family val="2"/>
      </rPr>
      <t xml:space="preserve"> = drop in</t>
    </r>
  </si>
  <si>
    <t>Sumilux-R 35/1.4</t>
  </si>
  <si>
    <t>Nikkor 35/1.4 AIS</t>
  </si>
  <si>
    <t>2.8</t>
  </si>
  <si>
    <t>AI</t>
  </si>
  <si>
    <t xml:space="preserve">Nikkor 200/2 AIS </t>
  </si>
  <si>
    <t>Lens$db: Lens Price database</t>
  </si>
  <si>
    <t>28-85</t>
  </si>
  <si>
    <t>3.3-4</t>
  </si>
  <si>
    <t>45-136</t>
  </si>
  <si>
    <t>35-135</t>
  </si>
  <si>
    <t>56-215</t>
  </si>
  <si>
    <t>56-112</t>
  </si>
  <si>
    <t>112-336</t>
  </si>
  <si>
    <t>SMC Pentax 18/3.5</t>
  </si>
  <si>
    <t>SMC Takumar 85/1.8</t>
  </si>
  <si>
    <t>SMC Takumar 135/2.5</t>
  </si>
  <si>
    <t>17-55</t>
  </si>
  <si>
    <t>27-88</t>
  </si>
  <si>
    <t>CY</t>
  </si>
  <si>
    <t>EF 50/1.2 L USM</t>
  </si>
  <si>
    <t>AT-X Pro 20-35/2.8</t>
  </si>
  <si>
    <t>AT-X &amp; AT-X Pro SV</t>
  </si>
  <si>
    <t>AT-X Pro AF</t>
  </si>
  <si>
    <t>AT-X &amp; AT-X Pro 828 AF</t>
  </si>
  <si>
    <t>Elmarit R 24/2.8</t>
  </si>
  <si>
    <t>Nikkor 200-400/4 *ED MF</t>
  </si>
  <si>
    <t>320-640</t>
  </si>
  <si>
    <t>Tomioka</t>
  </si>
  <si>
    <t>SP 180/2.5 LD IF MF</t>
  </si>
  <si>
    <t xml:space="preserve">Nikkor 135/2 AIS </t>
  </si>
  <si>
    <t>Olympus</t>
  </si>
  <si>
    <t>OM</t>
  </si>
  <si>
    <t xml:space="preserve">Canon: Tan Chung, www.tanchung.com/canon/canonlensesmain.htm     </t>
  </si>
  <si>
    <t>Canon: Reptile Garden Photography,  www.rgarden.glandrake.com/index.html</t>
  </si>
  <si>
    <t xml:space="preserve">Canon: Eric's Photos http://canid.com/canon_ef_lenses.html     </t>
  </si>
  <si>
    <t>Olympus: The Unofficial Olympus Sales Information File, http://vanveluwen.nl/eSIF/</t>
  </si>
  <si>
    <t>Contax Carl Zeiss www.zeiss.de and http://www.contaxusa.com/lenses.asp?itemnum=132000</t>
  </si>
  <si>
    <t>Contax etc. Leonard Foo, Photography in Malaysia http://mir.com.my/rb/photography/</t>
  </si>
  <si>
    <t xml:space="preserve">   additional information was taken from a variety of places, including:</t>
  </si>
  <si>
    <t xml:space="preserve">Pentax K: Boz Dimitriov Pentax K-Mount site http://www.bdimitrov.de/kmp/ </t>
  </si>
  <si>
    <t>Pentax Takumar M42: Ashai Optical Historical Society, www.aohc.it</t>
  </si>
  <si>
    <t>Nikon Lens Specifications by Roland Vink http://home19.inet.tele.dk/ne/nikon.htm</t>
  </si>
  <si>
    <t>40-80</t>
  </si>
  <si>
    <t>64-128</t>
  </si>
  <si>
    <t>70co</t>
  </si>
  <si>
    <t>co</t>
  </si>
  <si>
    <t>Nikkor 28/4 PC AI</t>
  </si>
  <si>
    <t>SMC Pentax-A 20/2.8</t>
  </si>
  <si>
    <t>SMC Pentax 50/1.2</t>
  </si>
  <si>
    <t>SMC Pentax-A 50/1.2</t>
  </si>
  <si>
    <t>SMC Pentax-A 50/1.4</t>
  </si>
  <si>
    <t>SMC Pentax 85/1.8</t>
  </si>
  <si>
    <t>SMC Pentax 135/2.5</t>
  </si>
  <si>
    <t>SMC Pentax-M 135/3.5</t>
  </si>
  <si>
    <t>SMC Pentax 200/2.5</t>
  </si>
  <si>
    <t>SMC Pentax-A* ED 200/2.8</t>
  </si>
  <si>
    <t>SMC Pentax-A* ED 200/4 Macro</t>
  </si>
  <si>
    <t>SMC Pentax-A* ED 300/2.8 IF</t>
  </si>
  <si>
    <t>SMC Pentax-A* ED 400/2.8 IF</t>
  </si>
  <si>
    <t>Super-Takumar 20/4.5</t>
  </si>
  <si>
    <t>SMC Takumar 20/4.5</t>
  </si>
  <si>
    <t>SMC Takumar 500/4.5 ps</t>
  </si>
  <si>
    <t xml:space="preserve">All spreadsheet pages except for "compare" are 'protected' so that they can't be modified, but you can </t>
  </si>
  <si>
    <t>M645</t>
  </si>
  <si>
    <t>Mamiya</t>
  </si>
  <si>
    <t>P6</t>
  </si>
  <si>
    <t>1.9</t>
  </si>
  <si>
    <t>Xenotar MF 80/2.8</t>
  </si>
  <si>
    <t>43di</t>
  </si>
  <si>
    <t>PC-Super-Angulon 28/2.8 shift</t>
  </si>
  <si>
    <t>28</t>
  </si>
  <si>
    <t>39 di</t>
  </si>
  <si>
    <t>Fish-eye-Takumar FE 17/4</t>
  </si>
  <si>
    <t>Nikkor 50/1.2 AIS</t>
  </si>
  <si>
    <t>AT-X Pro, Pro II</t>
  </si>
  <si>
    <t>EF is Canon AF, others are various manual focus mounts</t>
  </si>
  <si>
    <t>focal length (mm)</t>
  </si>
  <si>
    <t>minimum focus distance (m)</t>
  </si>
  <si>
    <t>weight of lens (kg), not including caps</t>
  </si>
  <si>
    <t xml:space="preserve">maximum diameter of lens (mm) </t>
  </si>
  <si>
    <t>minimum length of lens (mm), usually at infinity focus</t>
  </si>
  <si>
    <t>Zeiss Jena</t>
  </si>
  <si>
    <t>Nikkor 6/2.8 FE [220 deg]</t>
  </si>
  <si>
    <t>160-480</t>
  </si>
  <si>
    <t>F</t>
  </si>
  <si>
    <t>Nikkor 8/2.8 FE [220 deg]</t>
  </si>
  <si>
    <t>.08-05</t>
  </si>
  <si>
    <t>SMC Pentax-A 15/3.5</t>
  </si>
  <si>
    <t>AT-X 24-40/2.8</t>
  </si>
  <si>
    <t>43.5di</t>
  </si>
  <si>
    <t>Mamiya-Sekor C 35/3.5 N</t>
  </si>
  <si>
    <t>Mamiya-Sekor C 45/2.8 N</t>
  </si>
  <si>
    <t>Mamiya-Sekor C 50/4 Shift</t>
  </si>
  <si>
    <t>Mamiya-Sekor C 55/2.8 N</t>
  </si>
  <si>
    <t>Mamiya-Sekor C 80/2.8 N</t>
  </si>
  <si>
    <t>Mamiya-Sekor C 80/4 N Macro</t>
  </si>
  <si>
    <t>Mamiya-Sekor C 150/3.5 N</t>
  </si>
  <si>
    <t>Mamiya-Sekor C 210/4 N</t>
  </si>
  <si>
    <t>Mamiya A 200/2.8 APO</t>
  </si>
  <si>
    <t>Mamiya A 500/4.5 APO</t>
  </si>
  <si>
    <t>150-500</t>
  </si>
  <si>
    <t>240-800</t>
  </si>
  <si>
    <t xml:space="preserve">Mamiya-Sekor C 80/1.9 </t>
  </si>
  <si>
    <t>EF-S 10-22/3.5-4.5 USM</t>
  </si>
  <si>
    <t>EF-S 17-55/2.8 IS USM</t>
  </si>
  <si>
    <t>EX 50/1.4 DG HSM</t>
  </si>
  <si>
    <t>14-24</t>
  </si>
  <si>
    <t>22-38</t>
  </si>
  <si>
    <t>AF-S</t>
  </si>
  <si>
    <t>EF Extenders (teleconverters)</t>
  </si>
  <si>
    <t>x1.4</t>
  </si>
  <si>
    <t>x2</t>
  </si>
  <si>
    <t>Planar T* 85/1.4 ZE</t>
  </si>
  <si>
    <t>Distagon T* 21/2.8 ZE</t>
  </si>
  <si>
    <t>Planar T* 50/1.4 ZE</t>
  </si>
  <si>
    <t>Mamiya C ULD 105-210/4.5</t>
  </si>
  <si>
    <t>105-210</t>
  </si>
  <si>
    <t>55-110</t>
  </si>
  <si>
    <t>SP 20-40/2.7-3.5 ASP IF</t>
  </si>
  <si>
    <t>SP 28-75/2.8 XR Di AF</t>
  </si>
  <si>
    <t>Mamiya-Sekor C 24/4 ULD FE</t>
  </si>
  <si>
    <t>Mamiya-Sekor C 80/1.9 N</t>
  </si>
  <si>
    <t>MFD</t>
  </si>
  <si>
    <t>EF 35/2</t>
  </si>
  <si>
    <t>.09-02</t>
  </si>
  <si>
    <t>.09-03</t>
  </si>
  <si>
    <t>PC Super-Angulon 28/2.8 shift</t>
  </si>
  <si>
    <t>320-800</t>
  </si>
  <si>
    <t>(23.2k)</t>
  </si>
  <si>
    <t>72di</t>
  </si>
  <si>
    <t>2,5</t>
  </si>
  <si>
    <t>.09-04</t>
  </si>
  <si>
    <t>Mamiya-Sekor C 300/5.6 N</t>
  </si>
  <si>
    <t>Mamiya-Sekor C 500/5.6</t>
  </si>
  <si>
    <t xml:space="preserve">Mamiya A 150/2.8 </t>
  </si>
  <si>
    <t>.09-05</t>
  </si>
  <si>
    <t>Leica</t>
  </si>
  <si>
    <t xml:space="preserve">20/3.5 Color Skopar Asp SL II </t>
  </si>
  <si>
    <t xml:space="preserve">35/2.8 Color Skoparex SL </t>
  </si>
  <si>
    <t xml:space="preserve">40/2 Ultron Asp SL II </t>
  </si>
  <si>
    <t xml:space="preserve">50/1.8 Color Ultron SL </t>
  </si>
  <si>
    <t xml:space="preserve">58/1.4 Nokton SL-II </t>
  </si>
  <si>
    <t xml:space="preserve">75/2.5 Color Heliar SL </t>
  </si>
  <si>
    <t>90/3.5 Apo-Lanthar CF SL</t>
  </si>
  <si>
    <t xml:space="preserve">180/4 Apo-Lanthar CF SL </t>
  </si>
  <si>
    <t>N</t>
  </si>
  <si>
    <t>PA-Curtagon 35/4 Shift</t>
  </si>
  <si>
    <t>Planar T* 50/1.4 N</t>
  </si>
  <si>
    <t>Planar T* 85/1.4 N</t>
  </si>
  <si>
    <t>Makro-Sonnar T* 100/2.8</t>
  </si>
  <si>
    <t>vSonnar T* 17-35/2.8 N</t>
  </si>
  <si>
    <t>Tele-Apotessar T* 400/4 N</t>
  </si>
  <si>
    <t>d.i.</t>
  </si>
  <si>
    <t>c.o.</t>
  </si>
  <si>
    <t>Mamiya C 55-110/4.5 N</t>
  </si>
  <si>
    <t xml:space="preserve">Medium Format Lenses </t>
  </si>
  <si>
    <t>L</t>
  </si>
  <si>
    <t>D</t>
  </si>
  <si>
    <t>Df</t>
  </si>
  <si>
    <t>Elmarit R Super-W 19/2.8 [x]</t>
  </si>
  <si>
    <t>EF-S 15-85/3.5-5.6 IS USM</t>
  </si>
  <si>
    <t>15-85</t>
  </si>
  <si>
    <t>24-135</t>
  </si>
  <si>
    <t>Nikkor 35/2.8 PC n AI (bk knob)</t>
  </si>
  <si>
    <t>.09-08</t>
  </si>
  <si>
    <t>STT</t>
  </si>
  <si>
    <t>CZ.V</t>
  </si>
  <si>
    <t>LNOP</t>
  </si>
  <si>
    <t>SP 14/2.8 LD Asp IF</t>
  </si>
  <si>
    <t>SMC Pentax-A 16/2.8 FE</t>
  </si>
  <si>
    <t xml:space="preserve">SMC Pentax 17/4 FE </t>
  </si>
  <si>
    <t>SMC Takumar FE 17/4</t>
  </si>
  <si>
    <t>Distagon T* 18/3.5 ZE</t>
  </si>
  <si>
    <t>Mamiya M645 manual focus</t>
  </si>
  <si>
    <t>Sigma EX autofocus</t>
  </si>
  <si>
    <t>Tamron SP manual and autofocus</t>
  </si>
  <si>
    <t>Tokina manual and autofocus</t>
  </si>
  <si>
    <t>Carl Zeiss Contax N autofocus</t>
  </si>
  <si>
    <t>Voigtlander 35mm manual focus</t>
  </si>
  <si>
    <t>Schneider-Kreuznach 35mm manual focus</t>
  </si>
  <si>
    <t>Pentax SMC K-mount manual focus</t>
  </si>
  <si>
    <t>Olympus OM  manual focus</t>
  </si>
  <si>
    <t>Nikon AIS/ AI  manual focus</t>
  </si>
  <si>
    <t>Carl Zeiss ZE manual focus for Canon EOS</t>
  </si>
  <si>
    <t>Nikkor 20/3.5</t>
  </si>
  <si>
    <t>camtec</t>
  </si>
  <si>
    <t>.09-09</t>
  </si>
  <si>
    <t>82*</t>
  </si>
  <si>
    <t>* hood accepts filter</t>
  </si>
  <si>
    <t>Distagon T* 28/2 ZE</t>
  </si>
  <si>
    <t>Distagon T* 35/2 ZE</t>
  </si>
  <si>
    <t>.09-10</t>
  </si>
  <si>
    <t>85/1.4 Aspherical IF</t>
  </si>
  <si>
    <t>112-49</t>
  </si>
  <si>
    <t xml:space="preserve">122-39 </t>
  </si>
  <si>
    <t>cameta</t>
  </si>
  <si>
    <t>VII</t>
  </si>
  <si>
    <t>Elmarit R-35/2.8 III E55 h-bi</t>
  </si>
  <si>
    <t>VIII</t>
  </si>
  <si>
    <t>Fisheye-Elmarit-R</t>
  </si>
  <si>
    <t>Summicron-R 35/2 3cam</t>
  </si>
  <si>
    <t>Elmarit R-35/2.8 II h-lugs</t>
  </si>
  <si>
    <t>bergen</t>
  </si>
  <si>
    <t>.09-12</t>
  </si>
  <si>
    <t>Apo-Summicron-R 180/2</t>
  </si>
  <si>
    <t>Apo-Elmarit-R 180/2.8</t>
  </si>
  <si>
    <t>Elmarit-R 180/2.8 II</t>
  </si>
  <si>
    <t>Telyt-R 250/4</t>
  </si>
  <si>
    <t>Macro-Elmarit-R 60/2.8 3-cam</t>
  </si>
  <si>
    <t>s8</t>
  </si>
  <si>
    <t>8elm</t>
  </si>
  <si>
    <t xml:space="preserve">Elmarit-R 135/2.8 </t>
  </si>
  <si>
    <t>SMC Pentax 85/2.2 Soft</t>
  </si>
  <si>
    <t>Elmarit R 90/2.8 E55</t>
  </si>
  <si>
    <t>Summicron-R 50/2 E55</t>
  </si>
  <si>
    <t>17.4k</t>
  </si>
  <si>
    <t>Summicron-R 90/2 E55</t>
  </si>
  <si>
    <t>Apo-Telyt-R 180/3.4 E60</t>
  </si>
  <si>
    <t>.10-02</t>
  </si>
  <si>
    <t>Data sources:</t>
  </si>
  <si>
    <t>Voigtlander SL, LTM, LM: CameraQuest http://cameraquest.com/inventor.htm</t>
  </si>
  <si>
    <t>SP 300/5.6 (54B)</t>
  </si>
  <si>
    <t>SP 17/35 [151B]</t>
  </si>
  <si>
    <t>SP 17/3.5 [51B] (bi filters)</t>
  </si>
  <si>
    <t>24-85</t>
  </si>
  <si>
    <t>Pancolar MC 80/1.8</t>
  </si>
  <si>
    <t>Nikkor ED 500/4 P</t>
  </si>
  <si>
    <t>Nikkor *ED 600/4 IF MF</t>
  </si>
  <si>
    <t>Nikkor *ED 800/5.6 IF MF</t>
  </si>
  <si>
    <t>Nikkor *ED 400/3.5 IF MF</t>
  </si>
  <si>
    <t>Nikkor *ED 300/2 IF N</t>
  </si>
  <si>
    <t>Nikkor *ED 300/2.8 IF N</t>
  </si>
  <si>
    <t>Nikkor *ED 400/2.8 IF MF</t>
  </si>
  <si>
    <t xml:space="preserve">125/2.5 Apo-Lanthar Macro SL </t>
  </si>
  <si>
    <t>Apo-Telyt-R 280/4 ROM</t>
  </si>
  <si>
    <t>EF 200/1.8 L USM</t>
  </si>
  <si>
    <t>EF 300/4 L IS USM</t>
  </si>
  <si>
    <t>.10-05</t>
  </si>
  <si>
    <t>EF 70-200/2.8 L IS II USM</t>
  </si>
  <si>
    <t>ffordes</t>
  </si>
  <si>
    <t>.10-06</t>
  </si>
  <si>
    <t>Summilux-R 50/1.4 E55 h-bi</t>
  </si>
  <si>
    <t>Samyang</t>
  </si>
  <si>
    <t>5.6-6.3</t>
  </si>
  <si>
    <t xml:space="preserve">EF 70-300/4-5.6L IS USM </t>
  </si>
  <si>
    <t>EF 8-15mm f/4L Fisheye USM</t>
  </si>
  <si>
    <t>8-15</t>
  </si>
  <si>
    <t>Extender EF 1.4x III</t>
  </si>
  <si>
    <t>Extender EF 2x III</t>
  </si>
  <si>
    <t>13-24</t>
  </si>
  <si>
    <t>38-136</t>
  </si>
  <si>
    <t>28-135</t>
  </si>
  <si>
    <t>45-215</t>
  </si>
  <si>
    <t>SP 400mm f/4 LD (IF) MF</t>
  </si>
  <si>
    <t>35/1.4 AS UMC</t>
  </si>
  <si>
    <t xml:space="preserve">EX 300-800/5.6 APO IF HSM </t>
  </si>
  <si>
    <t>EX 20/1.8 Asp DG RF rl</t>
  </si>
  <si>
    <t>.10-09</t>
  </si>
  <si>
    <t>kevin</t>
  </si>
  <si>
    <t>Pancolar MC 50/1.8</t>
  </si>
  <si>
    <t>Zuiko 50/1.2 Auto-S</t>
  </si>
  <si>
    <t xml:space="preserve">SP 24-135/3.5-5.6 AF </t>
  </si>
  <si>
    <t>AT-X Pro 16-28/2.8 FX</t>
  </si>
  <si>
    <t>16-28</t>
  </si>
  <si>
    <t>26-45</t>
  </si>
  <si>
    <t>35-80</t>
  </si>
  <si>
    <t>2.8-3.5</t>
  </si>
  <si>
    <t xml:space="preserve">SP 35-80/2.8-3.5 MF </t>
  </si>
  <si>
    <t>SP 80-200/2.8 LD pp</t>
  </si>
  <si>
    <t>LD 200-400/5.6 IF</t>
  </si>
  <si>
    <t>SP 200-500/5.6-6.3 LD IF</t>
  </si>
  <si>
    <t>SP 28-105/2.8 LD ASP AF</t>
  </si>
  <si>
    <t>SP 70-300/4-5.6 VC</t>
  </si>
  <si>
    <t>38-216</t>
  </si>
  <si>
    <t>56-128</t>
  </si>
  <si>
    <t>24-48</t>
  </si>
  <si>
    <t>38-76</t>
  </si>
  <si>
    <t>3.5-3.8</t>
  </si>
  <si>
    <t>.10-11</t>
  </si>
  <si>
    <t>Nikkor-P Auto 105/2.5</t>
  </si>
  <si>
    <t>Nikkor 105/2.5</t>
  </si>
  <si>
    <t>.11-01</t>
  </si>
  <si>
    <t>4, 5.6</t>
  </si>
  <si>
    <t>EF 200-400/4 L IS 1.4x</t>
  </si>
  <si>
    <t>Apo-Summicron-R 90/2 ASPH</t>
  </si>
  <si>
    <t xml:space="preserve">SMC Pentax-A* 85mm f/1.4 </t>
  </si>
  <si>
    <t>SMC Pentax-A* 135mm f/1.8</t>
  </si>
  <si>
    <t>Mamiya-Sekor C 145/4 SF</t>
  </si>
  <si>
    <t>45-115</t>
  </si>
  <si>
    <t>45-168</t>
  </si>
  <si>
    <t>.11-04</t>
  </si>
  <si>
    <t>AT-X 17/3.5 AF Pro</t>
  </si>
  <si>
    <t>70-150</t>
  </si>
  <si>
    <t>SP 70-150/2.8 Soft [51A]</t>
  </si>
  <si>
    <t>14/2.8 AS UMC</t>
  </si>
  <si>
    <t>Pancolar MC 50/1.4</t>
  </si>
  <si>
    <t>vSonnar T* 70-300/4-5.6 N</t>
  </si>
  <si>
    <t>112-420</t>
  </si>
  <si>
    <t>Noct-Nikkor 58/1.2</t>
  </si>
  <si>
    <t>compare</t>
  </si>
  <si>
    <t xml:space="preserve">select an entire page and paste it to a new spreadsheet of your own without protection.  </t>
  </si>
  <si>
    <t>Makro-Planar T* 50/2 ZE [1:2]</t>
  </si>
  <si>
    <t>Distagon T* 35/1.4 ZE</t>
  </si>
  <si>
    <t>LM</t>
  </si>
  <si>
    <t>LTM</t>
  </si>
  <si>
    <t>Rokinon</t>
  </si>
  <si>
    <t>SP 350/5.6 Cat</t>
  </si>
  <si>
    <t>Makro-Planar T* 100/2 ZE [1:2]</t>
  </si>
  <si>
    <t xml:space="preserve">       E  to E+</t>
  </si>
  <si>
    <t>E  to E+</t>
  </si>
  <si>
    <t>.11-10</t>
  </si>
  <si>
    <t>Distagon T* 25/2 ZE</t>
  </si>
  <si>
    <t>EF 135/2 L USM</t>
  </si>
  <si>
    <t>24/1.4 AS UMC</t>
  </si>
  <si>
    <t>jack's</t>
  </si>
  <si>
    <t>.11-11</t>
  </si>
  <si>
    <t>Curtagon MF 60/3.5</t>
  </si>
  <si>
    <t>Pentacon Six, Sch-K lenses, TRA http://www.pentaconsix.com/Schneiderdata.htm</t>
  </si>
  <si>
    <t>5.6</t>
  </si>
  <si>
    <t>Tele-Xenar MF 150/4</t>
  </si>
  <si>
    <t>Tele-Xenar MF 250/5.6</t>
  </si>
  <si>
    <t>.11-12</t>
  </si>
  <si>
    <t>Zuiko 90/2 MC Macro</t>
  </si>
  <si>
    <t>Canon rangefinder lenses http://www.huffman.tk/id25.html</t>
  </si>
  <si>
    <t>Canon rangefinder lenses http://www.taunusreiter.de/Cameras/Canon_RF_2e.html</t>
  </si>
  <si>
    <t>.12-01</t>
  </si>
  <si>
    <t>SP 24-70/2.8 Di VC USD</t>
  </si>
  <si>
    <t>112-480</t>
  </si>
  <si>
    <t>112-240</t>
  </si>
  <si>
    <t xml:space="preserve">320-640 </t>
  </si>
  <si>
    <t>38-64</t>
  </si>
  <si>
    <t>macro Sekor 60/2.8 [1:1]</t>
  </si>
  <si>
    <t>c'quest</t>
  </si>
  <si>
    <t>Nikkor 14-24/2.8 G ED AF-S</t>
  </si>
  <si>
    <t>.12-02</t>
  </si>
  <si>
    <t xml:space="preserve">EF 400/4 DO IS USM </t>
  </si>
  <si>
    <t xml:space="preserve">Mamiya A 120/4 Macro </t>
  </si>
  <si>
    <t>EF 300/2.8 L IS USM</t>
  </si>
  <si>
    <t>vSonnar T* 24-85/3.5-4.5 N</t>
  </si>
  <si>
    <t>EF 70-200/4 L USM</t>
  </si>
  <si>
    <t>49&gt;72</t>
  </si>
  <si>
    <t>.12-05</t>
  </si>
  <si>
    <t>.12-04</t>
  </si>
  <si>
    <t>1.5-2.5</t>
  </si>
  <si>
    <t>695</t>
  </si>
  <si>
    <t>SP 200-500/5.6 LD IF [31A]</t>
  </si>
  <si>
    <t>18-55</t>
  </si>
  <si>
    <t xml:space="preserve">EX 200-500/2.8 APO IF HSM </t>
  </si>
  <si>
    <t>Nikkor 13/5.6</t>
  </si>
  <si>
    <t>Apo Sonnar T* 135/2 ZE</t>
  </si>
  <si>
    <t>Zuiko 40/2 Auto-S</t>
  </si>
  <si>
    <t>EF 24/2.8 IS USM</t>
  </si>
  <si>
    <t>EF 28/2.8 IS USM</t>
  </si>
  <si>
    <t>EF 40/2.8 STM</t>
  </si>
  <si>
    <t>.12-09</t>
  </si>
  <si>
    <t>AT-X Pro 17-35/4 FX</t>
  </si>
  <si>
    <t>EX 120-300/2.8 OS HSM</t>
  </si>
  <si>
    <t>EX 120-300/2.8 HSM</t>
  </si>
  <si>
    <t>Nikkor 28/3.5 PC AI (bk knob)</t>
  </si>
  <si>
    <t>5-6.3</t>
  </si>
  <si>
    <t>.12-11</t>
  </si>
  <si>
    <t>.12-10</t>
  </si>
  <si>
    <t xml:space="preserve">28/2.8 Color Skopar Asp SL II </t>
  </si>
  <si>
    <t>SP 180/3.5 AF Di Macro 1:1</t>
  </si>
  <si>
    <t>Zuiko 200/4 Auto-T</t>
  </si>
  <si>
    <t>Auto-Takumar 85/1.8</t>
  </si>
  <si>
    <t>Zuiko 100/2 Auto-T (ED)</t>
  </si>
  <si>
    <t>EF 35/2 IS</t>
  </si>
  <si>
    <t xml:space="preserve">Sigma </t>
  </si>
  <si>
    <t>.12-12</t>
  </si>
  <si>
    <t>SMC Pentax 20/4</t>
  </si>
  <si>
    <t>SMC Pentax-M 20/4</t>
  </si>
  <si>
    <t>SP 90/2.5 Macro [58BB]</t>
  </si>
  <si>
    <t>mamyia/sekor AUTO 21/4 SX</t>
  </si>
  <si>
    <t>mamyia/sekor AUTO 85/1.7 SX</t>
  </si>
  <si>
    <t>Carl Zeiss M42</t>
  </si>
  <si>
    <t>mamyia/sekor AUTO 35/2.8 SX</t>
  </si>
  <si>
    <t>.13-01</t>
  </si>
  <si>
    <t>Zuiko 50/1.8 Auto-S</t>
  </si>
  <si>
    <t>.13-02</t>
  </si>
  <si>
    <t>EFx</t>
  </si>
  <si>
    <t>Other manual focus</t>
  </si>
  <si>
    <t>Minolta</t>
  </si>
  <si>
    <t>Zuiko 135/4.5 MC Macro</t>
  </si>
  <si>
    <t xml:space="preserve">Zuiko 85/2 Auto-T </t>
  </si>
  <si>
    <t xml:space="preserve">Zuiko 55/1.2 Auto-S </t>
  </si>
  <si>
    <t xml:space="preserve">  </t>
  </si>
  <si>
    <t>Sonnar MC 135/3.5</t>
  </si>
  <si>
    <t xml:space="preserve">Flektogon 20/2.8 </t>
  </si>
  <si>
    <t xml:space="preserve">Flektogon 20/4 </t>
  </si>
  <si>
    <t xml:space="preserve">Flektogon 35/2.4 MC </t>
  </si>
  <si>
    <t>Sonnar MC 200/2.8</t>
  </si>
  <si>
    <t>Sonnar MC 180/2.8</t>
  </si>
  <si>
    <t>EX 28/1.8</t>
  </si>
  <si>
    <t>SMC Pentax 28/2</t>
  </si>
  <si>
    <t>ctc</t>
  </si>
  <si>
    <t>Mamiya-Sekor C 110/2.8 N</t>
  </si>
  <si>
    <t xml:space="preserve">SMC Pentax-M, -A 400/5.6 </t>
  </si>
  <si>
    <t>SP 70-200/2.8 Di [A001]</t>
  </si>
  <si>
    <t>SP 70-200/2.8 Di VC [A009]</t>
  </si>
  <si>
    <t>.13-04</t>
  </si>
  <si>
    <t>24/3.5 ED AS UMC T-S</t>
  </si>
  <si>
    <t>.13-05</t>
  </si>
  <si>
    <t>EX 70/2.8 DG macro</t>
  </si>
  <si>
    <t>EX 85/1.4 DG</t>
  </si>
  <si>
    <t>EX 105/2.8 macro</t>
  </si>
  <si>
    <t>EX 105/2.8 macro OS</t>
  </si>
  <si>
    <t>EX 150/2.8 DG APO Macro</t>
  </si>
  <si>
    <t>EX 150/2.8 DG APO Macro OS</t>
  </si>
  <si>
    <t>EX 180/3.5 APO Macro</t>
  </si>
  <si>
    <t>EX 300/2.8 AF APO</t>
  </si>
  <si>
    <t>EX 500/4.5 DG APO AF</t>
  </si>
  <si>
    <t>EX 800/5.6 DG APO AF</t>
  </si>
  <si>
    <t>EX 14/2.8 ASP IF DG</t>
  </si>
  <si>
    <t>EX 24/1.8ASP DG DF rl</t>
  </si>
  <si>
    <t>EX 70-200/2.8 APO OS</t>
  </si>
  <si>
    <t>EX 50-500/4-5.6 APO OS</t>
  </si>
  <si>
    <t>EX 28-70/2.8 ASP EX DG</t>
  </si>
  <si>
    <t>EX 24-70/2.8 ASP DF DG</t>
  </si>
  <si>
    <t>EX 12-24/4.5-5.6 ASP DG rl</t>
  </si>
  <si>
    <t>SP 300/2.8 MF LD IF full set</t>
  </si>
  <si>
    <t>SP 300/2.8 MF LD IF</t>
  </si>
  <si>
    <t>SP 300/2.8 AF LD IF</t>
  </si>
  <si>
    <t>AT-X 90/2.5 Macro</t>
  </si>
  <si>
    <t>AT-X 100/2.8 Macro</t>
  </si>
  <si>
    <t>AT-X 300/2.8 AF PRO</t>
  </si>
  <si>
    <t>AT-X 300/2.8 SD MF</t>
  </si>
  <si>
    <t>52di</t>
  </si>
  <si>
    <t>Zuiko 21/3.5</t>
  </si>
  <si>
    <t xml:space="preserve">Zuiko 21/2 </t>
  </si>
  <si>
    <t>Zuiko 18/3.5 MC Auto-W</t>
  </si>
  <si>
    <t>camren</t>
  </si>
  <si>
    <t>.13-06</t>
  </si>
  <si>
    <t>MC Rokkor-X 58/1.2</t>
  </si>
  <si>
    <t>ZE</t>
  </si>
  <si>
    <t>.13-07</t>
  </si>
  <si>
    <t>EBC Fujinon-SW 19/3.5</t>
  </si>
  <si>
    <t>EBC Fujinon-SW 24/2.8</t>
  </si>
  <si>
    <t>EBC Fujinon-W 35/1.9</t>
  </si>
  <si>
    <t>EBC Fujinon-W 35/2.8</t>
  </si>
  <si>
    <t>EBC Fujinon 50/1.4</t>
  </si>
  <si>
    <t>EBC Fujinon 85/4 soft</t>
  </si>
  <si>
    <t>EBC Fujinon 100/2.8</t>
  </si>
  <si>
    <t>EBC Fujinon-T 135/2.5</t>
  </si>
  <si>
    <t xml:space="preserve">EBC Fujinon Macro 55/3.5 </t>
  </si>
  <si>
    <t>Fuji Photo</t>
  </si>
  <si>
    <t>PC TS Makro-Symmar 90/4.5</t>
  </si>
  <si>
    <t>PC TS Super-Angulon 50/2.8</t>
  </si>
  <si>
    <t>3365</t>
  </si>
  <si>
    <t>EBC Fujinon-Fisheye 16/2.8</t>
  </si>
  <si>
    <t>.13-08</t>
  </si>
  <si>
    <t>.13-09</t>
  </si>
  <si>
    <t>EF 70-200/4 L IS USM</t>
  </si>
  <si>
    <t>.13-10</t>
  </si>
  <si>
    <t>SP 150-600/5-6.3 VC</t>
  </si>
  <si>
    <t>150-600</t>
  </si>
  <si>
    <t>240-960</t>
  </si>
  <si>
    <t>cf</t>
  </si>
  <si>
    <t>SMC Pentax-FA 645 35/3.5</t>
  </si>
  <si>
    <t>P645</t>
  </si>
  <si>
    <t>SMC Pentax-A 645 35/3.5</t>
  </si>
  <si>
    <t>SMC Pentax-A 645 55/2.8</t>
  </si>
  <si>
    <t>SMC Pentax-A 645 120/4 Mac</t>
  </si>
  <si>
    <t>SMC Pentax-FA 645 120/4 Mac</t>
  </si>
  <si>
    <t>Pentax Forums http://www.pentaxforums.com/lensreviews/ (645)</t>
  </si>
  <si>
    <t>SMC Pentax-A 645 75/2.8</t>
  </si>
  <si>
    <t>SMC Pentax-FA 645 75/2.8</t>
  </si>
  <si>
    <t>Schneider-Kreusnach manual focus</t>
  </si>
  <si>
    <t>Pentax P645 manual and autofocus</t>
  </si>
  <si>
    <t>38-155</t>
  </si>
  <si>
    <t>.14-01</t>
  </si>
  <si>
    <t>18-135</t>
  </si>
  <si>
    <t>.14-02</t>
  </si>
  <si>
    <t>340</t>
  </si>
  <si>
    <t>325</t>
  </si>
  <si>
    <t>RMC 17/3.5 SL</t>
  </si>
  <si>
    <t>Otus Apo Dist'gn T* 55/1.4 ZE</t>
  </si>
  <si>
    <t>.14-03</t>
  </si>
  <si>
    <t>S7</t>
  </si>
  <si>
    <t>28-200</t>
  </si>
  <si>
    <t>45-320</t>
  </si>
  <si>
    <t>SP 28-200/3.8-5.6 XR AF</t>
  </si>
  <si>
    <t>.14-04</t>
  </si>
  <si>
    <t>Yashica</t>
  </si>
  <si>
    <t>SMC Takumar 35/2</t>
  </si>
  <si>
    <t>Zuiko 24/3.5 Shift</t>
  </si>
  <si>
    <t>.14-06</t>
  </si>
  <si>
    <t>EF-S 10-18/4.5-5.6 IS STM</t>
  </si>
  <si>
    <t>10-18</t>
  </si>
  <si>
    <t>KAF</t>
  </si>
  <si>
    <t>.14-07</t>
  </si>
  <si>
    <t>LA</t>
  </si>
  <si>
    <t>1.2k-1.7k</t>
  </si>
  <si>
    <t>5.6-8</t>
  </si>
  <si>
    <t>f(1.6x)</t>
  </si>
  <si>
    <t>1302</t>
  </si>
  <si>
    <t>320</t>
  </si>
  <si>
    <t>.14-08</t>
  </si>
  <si>
    <t>EF-S 18-55/3.5-5.6 IS STM</t>
  </si>
  <si>
    <t>29-88</t>
  </si>
  <si>
    <t xml:space="preserve">EF 400/4 DO IS II USM </t>
  </si>
  <si>
    <t>.14-09</t>
  </si>
  <si>
    <t>Meyer</t>
  </si>
  <si>
    <t>.14-10</t>
  </si>
  <si>
    <t>EX 50-500/4-5.6 APO</t>
  </si>
  <si>
    <t>EF-S 24/2.8 STM</t>
  </si>
  <si>
    <t>SMC Pentax 28/3.5</t>
  </si>
  <si>
    <t>SMC Pentax 35/3.5</t>
  </si>
  <si>
    <t>SMC Pentax-M*, -A* 300/4</t>
  </si>
  <si>
    <t>EF-S 55-250/4-5.6 IS STM</t>
  </si>
  <si>
    <t>55-250</t>
  </si>
  <si>
    <t>88-400</t>
  </si>
  <si>
    <t>EF-S 18-135/3.5-5.6 IS STM</t>
  </si>
  <si>
    <t>29-216</t>
  </si>
  <si>
    <t>EF-S 60/2.8 Macro USM</t>
  </si>
  <si>
    <t>.14-11</t>
  </si>
  <si>
    <t>Distagon T* 15/2.8 ZE</t>
  </si>
  <si>
    <t>AT-X 150-500/5.6 SD</t>
  </si>
  <si>
    <t>50/1.4 AS UMC</t>
  </si>
  <si>
    <t>SMC Pentax-FA* 600/4</t>
  </si>
  <si>
    <t>150-43</t>
  </si>
  <si>
    <t>MD</t>
  </si>
  <si>
    <t>15-30</t>
  </si>
  <si>
    <t>SP 15-30/2.8 Di VC USD</t>
  </si>
  <si>
    <t xml:space="preserve">Canon </t>
  </si>
  <si>
    <t>EF 11-24/4 L USM</t>
  </si>
  <si>
    <t>11-24</t>
  </si>
  <si>
    <t>17-38</t>
  </si>
  <si>
    <t>.15-01</t>
  </si>
  <si>
    <t>Otus Apo Planar T* 85/1.4 ZE</t>
  </si>
  <si>
    <t>.15-02</t>
  </si>
  <si>
    <t>1625</t>
  </si>
  <si>
    <t>.15-03</t>
  </si>
  <si>
    <t>Zuiko 250/2 Auto-T</t>
  </si>
  <si>
    <t>Zuiko 350/2.8 Auto-T</t>
  </si>
  <si>
    <t>Zuiko 180/2 Auto-T</t>
  </si>
  <si>
    <t>Apo-MacroElmarit-R 100/2.8</t>
  </si>
  <si>
    <t>Macro-Elmar-R 100/4</t>
  </si>
  <si>
    <t>180k</t>
  </si>
  <si>
    <t>.15-04</t>
  </si>
  <si>
    <r>
      <t xml:space="preserve">See </t>
    </r>
    <r>
      <rPr>
        <b/>
        <sz val="10"/>
        <rFont val="Arial"/>
        <family val="2"/>
      </rPr>
      <t>Lens$db.docx</t>
    </r>
    <r>
      <rPr>
        <sz val="10"/>
        <rFont val="Arial"/>
        <family val="2"/>
      </rPr>
      <t xml:space="preserve"> for who, when, where, why, and how; this database tells you what and how much.</t>
    </r>
  </si>
  <si>
    <t>Pentacon</t>
  </si>
  <si>
    <t>EF 85/1.8 USM</t>
  </si>
  <si>
    <t>.15-06</t>
  </si>
  <si>
    <t>EX 120-300/2.8 OS S HSM</t>
  </si>
  <si>
    <t>100/2.8 ED UMC Macro</t>
  </si>
  <si>
    <t>.15-07</t>
  </si>
  <si>
    <t>Mamiya A 300/2.8 APO</t>
  </si>
  <si>
    <t>.15-08</t>
  </si>
  <si>
    <t>Carl Zeiss Milvus manual focus for Canon EOS</t>
  </si>
  <si>
    <t>Carl Zeiss Otus manual focus for Canon EOS</t>
  </si>
  <si>
    <t>Milvus T* 35/2 ZE</t>
  </si>
  <si>
    <t>Milvus 85/1.4 ZE</t>
  </si>
  <si>
    <t>Milvus 100/2 M ZE [1:2]</t>
  </si>
  <si>
    <t>fm</t>
  </si>
  <si>
    <t>DG 150-600 OS C</t>
  </si>
  <si>
    <t>DG 150-600 OS S</t>
  </si>
  <si>
    <t>.15-09</t>
  </si>
  <si>
    <t>Otus 28/1.4 ZE</t>
  </si>
  <si>
    <t>SMC Pentax-A 100/2.8 Macro</t>
  </si>
  <si>
    <t>.15-10</t>
  </si>
  <si>
    <t>24-35</t>
  </si>
  <si>
    <t>38-56</t>
  </si>
  <si>
    <t>henrys</t>
  </si>
  <si>
    <t>SP 45/1.8 Di VC</t>
  </si>
  <si>
    <t>SMC Pentax-M 28/2</t>
  </si>
  <si>
    <t>.15-11</t>
  </si>
  <si>
    <t>.15-12</t>
  </si>
  <si>
    <t>Jena etc. AllPhotoLenses, http://allphotolenses.com/lenses/item/c_921.html</t>
  </si>
  <si>
    <t>Sonnar MC 300/4 (P6)</t>
  </si>
  <si>
    <t>Nikkor 1200-1700/5.6-8*ED MF</t>
  </si>
  <si>
    <t>SMC Takumar 15mm f/3.5</t>
  </si>
  <si>
    <t>180x</t>
  </si>
  <si>
    <t>SP 35/1.8 Di VC</t>
  </si>
  <si>
    <t>AT-X 100-300/4 AF</t>
  </si>
  <si>
    <t>Super-Elmarit-R 15/2.8 Asp ROM</t>
  </si>
  <si>
    <t>L-shop</t>
  </si>
  <si>
    <t>Super-Elmar-R 15/3,5 [x] (Zeiss)</t>
  </si>
  <si>
    <t>convert $ CA to $ US [excel variable CA.US]</t>
  </si>
  <si>
    <t>equivalent focal length (mm) on a x1.6 crop factor body, e.g, Canon SL1, T5i, 70D, 7D II, etc.</t>
  </si>
  <si>
    <t>Leica R: CameraQuest http://www.cameraquest.com, Erwin Puts</t>
  </si>
  <si>
    <t>.16-01</t>
  </si>
  <si>
    <t xml:space="preserve">EF 28-300/3.5-5.6 L IS USM </t>
  </si>
  <si>
    <t xml:space="preserve">EF 100-400/4.5-5.6 L IS USM </t>
  </si>
  <si>
    <t xml:space="preserve">EF 100-400/4.5-5.6 L IS II USM </t>
  </si>
  <si>
    <t xml:space="preserve">EF 28-135/3.5-5.6 IS USM </t>
  </si>
  <si>
    <t xml:space="preserve">EF 28-80/2.8-4 L USM </t>
  </si>
  <si>
    <t xml:space="preserve">EF 70-200/2.8 L USM </t>
  </si>
  <si>
    <t xml:space="preserve">EF 35-350/3.5-5.6 L USM </t>
  </si>
  <si>
    <t xml:space="preserve">EF 16-35/2.8 L USM </t>
  </si>
  <si>
    <t xml:space="preserve">EF 16-35/2.8 L II USM </t>
  </si>
  <si>
    <t xml:space="preserve">EF 16-35/4 L IS USM </t>
  </si>
  <si>
    <t xml:space="preserve">EF 17-35/2.8 L USM </t>
  </si>
  <si>
    <t xml:space="preserve">EF 17-40/4 L USM </t>
  </si>
  <si>
    <t xml:space="preserve">EF 20-35/2.8 L USM </t>
  </si>
  <si>
    <t xml:space="preserve">EF 24-70/2.8 L USM </t>
  </si>
  <si>
    <t xml:space="preserve">EF 24-70/2.8 L II USM </t>
  </si>
  <si>
    <t xml:space="preserve">EF 24-70/4 L IS USM </t>
  </si>
  <si>
    <t xml:space="preserve">EF 24-105/4 L IS USM </t>
  </si>
  <si>
    <t xml:space="preserve">EF 28-70/2.8 L USM </t>
  </si>
  <si>
    <t xml:space="preserve">EF 70-200/2.8 L IS USM </t>
  </si>
  <si>
    <t xml:space="preserve">EF 80-200/2.8 L </t>
  </si>
  <si>
    <t xml:space="preserve">EF 50-200/3.5-4.5 L </t>
  </si>
  <si>
    <t xml:space="preserve">EF 100-300/5.6 L </t>
  </si>
  <si>
    <t xml:space="preserve">EF 180/3.5 L Macro USM </t>
  </si>
  <si>
    <t xml:space="preserve">EF 600/4 L IS USM </t>
  </si>
  <si>
    <t xml:space="preserve">EF 600/4 L IS II USM </t>
  </si>
  <si>
    <t xml:space="preserve">EF 800/5.6 L IS USM </t>
  </si>
  <si>
    <t xml:space="preserve">EF 15/2.8 (180/44) </t>
  </si>
  <si>
    <t xml:space="preserve">TS-E 24/3.5 L II </t>
  </si>
  <si>
    <t xml:space="preserve">EF 50/1.8 STM </t>
  </si>
  <si>
    <t xml:space="preserve">EF 100/2.8 Macro USM </t>
  </si>
  <si>
    <t xml:space="preserve">EF 100/2.8 L IS Macro USM </t>
  </si>
  <si>
    <t xml:space="preserve">EF 300/2.8 L IS II USM </t>
  </si>
  <si>
    <t xml:space="preserve">EF 300/4 L USM </t>
  </si>
  <si>
    <t xml:space="preserve">EF 400/2.8 L IS USM </t>
  </si>
  <si>
    <t xml:space="preserve">EF 400/2.8 L IS II USM </t>
  </si>
  <si>
    <t xml:space="preserve">EF 500/4 L IS USM </t>
  </si>
  <si>
    <t xml:space="preserve">EF 500/4 L IS II USM </t>
  </si>
  <si>
    <t xml:space="preserve">EF 14/2.8 L USM </t>
  </si>
  <si>
    <t xml:space="preserve">EF 14/2.8 L II USM </t>
  </si>
  <si>
    <t xml:space="preserve">TS-E 17/4 L </t>
  </si>
  <si>
    <t xml:space="preserve">EF 20/2.8 USM </t>
  </si>
  <si>
    <t xml:space="preserve">EF 24/1.4 L USM </t>
  </si>
  <si>
    <t xml:space="preserve">EF 24/1.4 L II USM </t>
  </si>
  <si>
    <t xml:space="preserve">TS-E 24/3.5 L </t>
  </si>
  <si>
    <t xml:space="preserve">EF 28/1.8 USM </t>
  </si>
  <si>
    <t xml:space="preserve">EF 35/1.4 L USM </t>
  </si>
  <si>
    <t xml:space="preserve">EF 35/1.4 L II USM </t>
  </si>
  <si>
    <t xml:space="preserve">TS-E 45/2.8 </t>
  </si>
  <si>
    <t xml:space="preserve">EF 50/1.0 L USM </t>
  </si>
  <si>
    <t xml:space="preserve">EF 50/1.4 USM </t>
  </si>
  <si>
    <t xml:space="preserve">EF 50/1.8 II </t>
  </si>
  <si>
    <t xml:space="preserve">EF 50/2.5 Compact-Macro </t>
  </si>
  <si>
    <t xml:space="preserve">EF 85/1.2 L USM </t>
  </si>
  <si>
    <t xml:space="preserve">EF 85/1.2 L II USM </t>
  </si>
  <si>
    <t xml:space="preserve">TS-E 90/2.8 </t>
  </si>
  <si>
    <t xml:space="preserve">EF 100/2.0 USM </t>
  </si>
  <si>
    <t xml:space="preserve">EF 100/2.8 Macro </t>
  </si>
  <si>
    <t xml:space="preserve">EF 135/2.8 Soft </t>
  </si>
  <si>
    <t xml:space="preserve">EF 200/2 L IS USM </t>
  </si>
  <si>
    <t xml:space="preserve">EF 200/2.8 L USM </t>
  </si>
  <si>
    <t xml:space="preserve">EF 300/2.8 L USM </t>
  </si>
  <si>
    <t xml:space="preserve">EF 400/2.8 L USM </t>
  </si>
  <si>
    <t xml:space="preserve">EF 400/5.6 L USM </t>
  </si>
  <si>
    <t xml:space="preserve">EF 500/4.5 L USM </t>
  </si>
  <si>
    <t xml:space="preserve">EF 600/4 L USM </t>
  </si>
  <si>
    <t xml:space="preserve">EF 1200/5.6 L USM </t>
  </si>
  <si>
    <t xml:space="preserve">EF 24/2.8 </t>
  </si>
  <si>
    <t xml:space="preserve">EF 28/2.8 </t>
  </si>
  <si>
    <t xml:space="preserve">EF 50/1.8 </t>
  </si>
  <si>
    <t xml:space="preserve">EX 70-200/2.8 APO </t>
  </si>
  <si>
    <t>DG 150-500 OS APO HSM</t>
  </si>
  <si>
    <t>AT-X 300/4 AF Pro</t>
  </si>
  <si>
    <t>Milvus T* 21/2.8 ZE</t>
  </si>
  <si>
    <t>Milvus T* 50/1.4 ZE</t>
  </si>
  <si>
    <t>Milvus 50/2 M ZE [1:2]</t>
  </si>
  <si>
    <t xml:space="preserve">Elmarit-R 28/2.8 </t>
  </si>
  <si>
    <t>Summicron-R 35/2 E55</t>
  </si>
  <si>
    <t xml:space="preserve">Summilux-R 80/1.4 </t>
  </si>
  <si>
    <t xml:space="preserve">Elmar-R 180/4 </t>
  </si>
  <si>
    <t xml:space="preserve">Apo-Telyt-R 280/2.8 </t>
  </si>
  <si>
    <t>Nikkor *ED 600/5.6 IF MF</t>
  </si>
  <si>
    <t>SMC Pentax-A* 600/5.6 ED IF</t>
  </si>
  <si>
    <t>135/2 ED UMC</t>
  </si>
  <si>
    <t>17k</t>
  </si>
  <si>
    <t>Leica-R manual focus 3-cam</t>
  </si>
  <si>
    <t>SP 85/1.8 Di VC USD</t>
  </si>
  <si>
    <t>SP 90/2.8 Di Macro 1:1</t>
  </si>
  <si>
    <t>SP 90/2.8 Di VC Macro 1:1</t>
  </si>
  <si>
    <t>SP 90/2.8 Di VC USD Macro 1:1</t>
  </si>
  <si>
    <t>.16-02</t>
  </si>
  <si>
    <t>.16-03</t>
  </si>
  <si>
    <t>SMC Pentax 28/3.5 Shift</t>
  </si>
  <si>
    <t>unprotected page for "=" relationships with previous pages, for easy comparison of items.</t>
  </si>
  <si>
    <t>.16-04</t>
  </si>
  <si>
    <t>Zuiko 28/2</t>
  </si>
  <si>
    <t>Zuiko 28/2.8</t>
  </si>
  <si>
    <t>Zuiko 24/2 Auto-W (fe)</t>
  </si>
  <si>
    <t xml:space="preserve">Zuiko 24/2.8 H.Zuiko </t>
  </si>
  <si>
    <t>Zuiko 35/2.8 Shift</t>
  </si>
  <si>
    <t>etc.</t>
  </si>
  <si>
    <t>Angenieux</t>
  </si>
  <si>
    <t>180/2.3 APO</t>
  </si>
  <si>
    <t>2.3</t>
  </si>
  <si>
    <t>Primoplan 58/1.9 V (MC)</t>
  </si>
  <si>
    <t>Primoplan 75/1.9 V (MC)</t>
  </si>
  <si>
    <t>28/2.8 II MC Macro</t>
  </si>
  <si>
    <t>kenmore</t>
  </si>
  <si>
    <t>E.Zuiko 135/3.5 OM</t>
  </si>
  <si>
    <t>Distagon T* 15/3.5 CY [x]</t>
  </si>
  <si>
    <t>F-Distagon 16/2.8 CY</t>
  </si>
  <si>
    <t>Distagon T* 18/4 CY [x]</t>
  </si>
  <si>
    <t>Distagon T* 21/2.8 CY</t>
  </si>
  <si>
    <t>Distagon T* 25/2.8 CY</t>
  </si>
  <si>
    <t>Distagon T* 28/2 CY</t>
  </si>
  <si>
    <t>Distagon T* 28/2.8 CY</t>
  </si>
  <si>
    <t>Distagon T* 35/1.4 CY</t>
  </si>
  <si>
    <t>Distagon T* 35/2.8  CY</t>
  </si>
  <si>
    <t>Tessar T* 45/2.8 CY</t>
  </si>
  <si>
    <t>Planar T* 50/1.4 CY</t>
  </si>
  <si>
    <t>Planar T* 50/1.7 CY</t>
  </si>
  <si>
    <t>Planar T* 55/1.2 100 Jahre CY</t>
  </si>
  <si>
    <t>S-Planar T* 60/2.8 CY [1:1]</t>
  </si>
  <si>
    <t>Planar T* 85/1.2 CY</t>
  </si>
  <si>
    <t>Planar T* 85/1.4 CY</t>
  </si>
  <si>
    <t>Sonnar T* 85/2.8 CY</t>
  </si>
  <si>
    <t>Planar T* 100/2 CY</t>
  </si>
  <si>
    <t>Makro-Planar T* 100/2.8 CY [1:1]</t>
  </si>
  <si>
    <t>Sonnar T* 100/3.5 CY</t>
  </si>
  <si>
    <t>S-Planar 100/4 CY (bellows)</t>
  </si>
  <si>
    <t>Planar T* 135/2 CY</t>
  </si>
  <si>
    <t>Sonnar T* 135/2.8 CY</t>
  </si>
  <si>
    <t>Sonnar T* 180/2.8 CY</t>
  </si>
  <si>
    <t>Aposonnar T* 200/2 CY</t>
  </si>
  <si>
    <t>Tele-Tessar T* 200/3.5 CY</t>
  </si>
  <si>
    <t>Tele-Tessar T* 200/4 CY</t>
  </si>
  <si>
    <t>Tele-Apotessar T* 300/2.8 CY</t>
  </si>
  <si>
    <t>Tele-Tessar T* 300/4 MM CY</t>
  </si>
  <si>
    <t>Tele-Apotessar T* 500/5.6 CY</t>
  </si>
  <si>
    <t>Tele-Apotessar T* 800/8 CY</t>
  </si>
  <si>
    <t>vSonnar T* 28-70/3.3-4 CY</t>
  </si>
  <si>
    <t>vSonnar T* 28-85/3.3-4 CY</t>
  </si>
  <si>
    <t>vSonnar T* 35-70/3.4 CY</t>
  </si>
  <si>
    <t>vSonnar T* 35-135/3.3-4.5  CY</t>
  </si>
  <si>
    <t>vSonnar T* 40-80/3.5  CY</t>
  </si>
  <si>
    <t>vSonnar T* 70-210mm f/3.5 CY</t>
  </si>
  <si>
    <t>vSonnar T* 80-200mm f/4 CY</t>
  </si>
  <si>
    <t>vSonnar T* 100-300/4.5-5.6 CY</t>
  </si>
  <si>
    <t>Ultron 50/1.8 M42</t>
  </si>
  <si>
    <t>Biometar 80/2.8 M42</t>
  </si>
  <si>
    <t>d'town</t>
  </si>
  <si>
    <t>.16-05</t>
  </si>
  <si>
    <t>"Makro-Planar 2.8/60 C" CY [1:2]</t>
  </si>
  <si>
    <t>"S-Planar 1:2.8 f=60mm" CY [1:1]</t>
  </si>
  <si>
    <t>"Makro-Planar 1:2.8 f=60mm" CY [1:1]</t>
  </si>
  <si>
    <t>MP-E 65/2.8 Macro Photo [1]</t>
  </si>
  <si>
    <t>SMC Pentax-A 50/2.8 Macro [1:2]</t>
  </si>
  <si>
    <t>SMC Pentax-FA 50/2.8 Macro [1:1]</t>
  </si>
  <si>
    <t>.16-07</t>
  </si>
  <si>
    <t>20/1.8 AS UMC</t>
  </si>
  <si>
    <t xml:space="preserve">EF 24-105/4 L IS II USM </t>
  </si>
  <si>
    <t xml:space="preserve">EF 16-35/2.8 L III USM </t>
  </si>
  <si>
    <t>.2016-08-24</t>
  </si>
  <si>
    <t>EF-S 18-135/3.5-5.6 IS nUSM</t>
  </si>
  <si>
    <t>18-35</t>
  </si>
  <si>
    <t>Apo-Telyt-R 400/2.8</t>
  </si>
  <si>
    <t>5.5 di</t>
  </si>
  <si>
    <t>Leica R: ApoTelyt, http://www.apotelyt.com/photo-lens/leica-r-lenses</t>
  </si>
  <si>
    <t>112-5,5</t>
  </si>
  <si>
    <t>.16-08</t>
  </si>
  <si>
    <t>Milvus T* 15/2.8 ZE</t>
  </si>
  <si>
    <t>Milvus T* 18/2.8 ZE</t>
  </si>
  <si>
    <t>Milvus 135/2 M ZE</t>
  </si>
  <si>
    <t>Elmarit-R 28/2.8 II E55 pre-ROM</t>
  </si>
  <si>
    <t>30</t>
  </si>
  <si>
    <t>AT-X Pro 14-20/2 DX</t>
  </si>
  <si>
    <t>14-20</t>
  </si>
  <si>
    <t>22-32</t>
  </si>
  <si>
    <t>SP 60/2 Macro</t>
  </si>
  <si>
    <t>60</t>
  </si>
  <si>
    <t>12-28</t>
  </si>
  <si>
    <t>19-45</t>
  </si>
  <si>
    <t>450</t>
  </si>
  <si>
    <t>50-100</t>
  </si>
  <si>
    <t>80-160</t>
  </si>
  <si>
    <t>11-20</t>
  </si>
  <si>
    <t>18-32</t>
  </si>
  <si>
    <t>EF-M</t>
  </si>
  <si>
    <t>EX 500/4 DG OS HSM</t>
  </si>
  <si>
    <t>EX 180/2.8 APO Macro OS [1:1]</t>
  </si>
  <si>
    <t>SP 24-48/3.5-3.8 [2]</t>
  </si>
  <si>
    <t xml:space="preserve">EX DC 50-150/2.8 </t>
  </si>
  <si>
    <t>50-150</t>
  </si>
  <si>
    <t>80-235</t>
  </si>
  <si>
    <t>10/2.8 NCS</t>
  </si>
  <si>
    <t>.16-09</t>
  </si>
  <si>
    <t>.16-10</t>
  </si>
  <si>
    <t>.16-11</t>
  </si>
  <si>
    <t>AT-X Pro 50-135/2.8 DX</t>
  </si>
  <si>
    <t>50-135</t>
  </si>
  <si>
    <t>80-216</t>
  </si>
  <si>
    <t>.17-01</t>
  </si>
  <si>
    <t>.16-12</t>
  </si>
  <si>
    <t>400/.</t>
  </si>
  <si>
    <t>14/2.4 SP</t>
  </si>
  <si>
    <t>85/1.2 SP</t>
  </si>
  <si>
    <t>EF-S 18-55/4-5.6 IS STM</t>
  </si>
  <si>
    <t>100-400/5-6.3 DG OS HSM</t>
  </si>
  <si>
    <t>Art 50/1.4 DG HSM</t>
  </si>
  <si>
    <t>Art 14/1.8 DG HSM</t>
  </si>
  <si>
    <t>Art 20/1.8  DG HSM</t>
  </si>
  <si>
    <t>Art 24/1.4 ASP DG HSM</t>
  </si>
  <si>
    <t>Art 35/1.4 DG HSM</t>
  </si>
  <si>
    <t>Art 85/1.4 DG  HSM</t>
  </si>
  <si>
    <t>Art 24-35/2 DG HSM</t>
  </si>
  <si>
    <t>Art 50-100/1.8 DC HSM</t>
  </si>
  <si>
    <t>Art 30/1.4 DC HSM</t>
  </si>
  <si>
    <t>Sigma Art autofocus</t>
  </si>
  <si>
    <t>Art 135/1.8 DG  HSM</t>
  </si>
  <si>
    <t>Art 24-70/2.8 OS DG HSM</t>
  </si>
  <si>
    <t>Art 24-105/4 OS DG HSM</t>
  </si>
  <si>
    <t>.17-02</t>
  </si>
  <si>
    <t>k'more</t>
  </si>
  <si>
    <t>p'pro</t>
  </si>
  <si>
    <t>721</t>
  </si>
  <si>
    <t>prec'n</t>
  </si>
  <si>
    <t>16/2 ED AS UMC</t>
  </si>
  <si>
    <t>35</t>
  </si>
  <si>
    <t>.17-03</t>
  </si>
  <si>
    <t>.17-04</t>
  </si>
  <si>
    <t>.17-06</t>
  </si>
  <si>
    <t>.17-05</t>
  </si>
  <si>
    <t>16</t>
  </si>
  <si>
    <t>10</t>
  </si>
  <si>
    <t>EF-S Manual Focus Lenses</t>
  </si>
  <si>
    <t>SMC Pentax-FA* 85mm f/1.4</t>
  </si>
  <si>
    <t>SMC Pentax-FA* ED 200/4 Macro IF</t>
  </si>
  <si>
    <t>.03-12</t>
  </si>
  <si>
    <t>SMC Pentax 24/2.8</t>
  </si>
  <si>
    <t>SMC Pentax 24/3.5</t>
  </si>
  <si>
    <t>Skoparex 35/3.4</t>
  </si>
  <si>
    <t>.17-07</t>
  </si>
  <si>
    <t>http://allphotolenses.com/lenses/item/c_409.html</t>
  </si>
  <si>
    <t>TS-E 135/4 L Macro</t>
  </si>
  <si>
    <t>TS-E 50/2.8 L Macro</t>
  </si>
  <si>
    <t>TS-E 90/2.8 L Macro</t>
  </si>
  <si>
    <t>EF 85/1.4 L IS USM</t>
  </si>
  <si>
    <t>.17-08</t>
  </si>
  <si>
    <t xml:space="preserve">EF 50/1.4 L IS USM </t>
  </si>
  <si>
    <t>.17-09</t>
  </si>
  <si>
    <t>Milvus 25/1.4 ZE</t>
  </si>
  <si>
    <t>B50</t>
  </si>
  <si>
    <t>EF-M 22/2</t>
  </si>
  <si>
    <t>EF-M 28/3.5 IS STM Macro [2]</t>
  </si>
  <si>
    <t>EF-M 11-22/4-5.6 IS STM</t>
  </si>
  <si>
    <t>11-22</t>
  </si>
  <si>
    <t>EF-M 15-45/3.5-6.3 IS STM</t>
  </si>
  <si>
    <t>15-45</t>
  </si>
  <si>
    <t>3.5-6.3</t>
  </si>
  <si>
    <t>24-72</t>
  </si>
  <si>
    <t>EF-M 18-55/3.5-5.6 IS STM</t>
  </si>
  <si>
    <t>EF-M 18-150/3.5-6.3 IS STM</t>
  </si>
  <si>
    <t>18-150</t>
  </si>
  <si>
    <t>29-240</t>
  </si>
  <si>
    <t>EF-M 55-200/4.5-6.3 IS STM</t>
  </si>
  <si>
    <t>55-200</t>
  </si>
  <si>
    <t>4.5-6.3</t>
  </si>
  <si>
    <t>88-320</t>
  </si>
  <si>
    <t>EF-M adapter for EF/EF-S</t>
  </si>
  <si>
    <t>10/2.8 ED AS NCS</t>
  </si>
  <si>
    <t>12/2 NCS</t>
  </si>
  <si>
    <t>12</t>
  </si>
  <si>
    <t>16/2 ED UMC</t>
  </si>
  <si>
    <t>21/1.4</t>
  </si>
  <si>
    <t xml:space="preserve">35/1.2 ED AS UMC </t>
  </si>
  <si>
    <t>50/1.2</t>
  </si>
  <si>
    <t>.17-10</t>
  </si>
  <si>
    <t>Coastal</t>
  </si>
  <si>
    <t>60/4 APO Macro</t>
  </si>
  <si>
    <t>.17-11</t>
  </si>
  <si>
    <t>Milvus T* 35/1.4 ZE</t>
  </si>
  <si>
    <t xml:space="preserve">100-400/4.5-6.3 Di VC USD </t>
  </si>
  <si>
    <t>.18-01</t>
  </si>
  <si>
    <t>Pancolar MC 55/1.4 zebra</t>
  </si>
  <si>
    <t>Biotar 58/2</t>
  </si>
  <si>
    <t>Tessar 50/2.8 bk</t>
  </si>
  <si>
    <t>PC-Distagon T* 35/2.8  CY</t>
  </si>
  <si>
    <t>Zeiss</t>
  </si>
  <si>
    <t>Zeiss ZM manual focus</t>
  </si>
  <si>
    <t>Distagon 15/2.8 ZM</t>
  </si>
  <si>
    <t>Distagon 18/4 ZM</t>
  </si>
  <si>
    <t>Biogon 21/2.8 ZM</t>
  </si>
  <si>
    <t>C Biogon 21/4.5 ZM</t>
  </si>
  <si>
    <t>Biogon 25/2.8 ZM</t>
  </si>
  <si>
    <t>Biogon 28/2.8 ZM</t>
  </si>
  <si>
    <t>Biogon 35/2 ZM</t>
  </si>
  <si>
    <t>Planar 50/2 ZM</t>
  </si>
  <si>
    <t>Tele-Tessar 85/4 ZM</t>
  </si>
  <si>
    <t>Canon RF manual focus</t>
  </si>
  <si>
    <t>Canon RF</t>
  </si>
  <si>
    <t>S 50/1.5 Serenar sv</t>
  </si>
  <si>
    <t xml:space="preserve">Voigtlander LM/LTM manual focus </t>
  </si>
  <si>
    <t>10/5.6 Heliar  Hyper-Wide</t>
  </si>
  <si>
    <t xml:space="preserve">12/5.6 ASPH UW Heliar </t>
  </si>
  <si>
    <t>77*</t>
  </si>
  <si>
    <t>12/5.6 ASPH UW Heliar II</t>
  </si>
  <si>
    <t>12/5.6 ASPH UW Heliar III</t>
  </si>
  <si>
    <t>15/4.5 ASPH SW Heliar DS</t>
  </si>
  <si>
    <t>15/4.5 ASPH SW Heliar II</t>
  </si>
  <si>
    <t>15/4.5 ASPH SW Heliar V III</t>
  </si>
  <si>
    <t xml:space="preserve">21/1.8 ASPH Ultron </t>
  </si>
  <si>
    <t xml:space="preserve">21/4 Color Skopar P </t>
  </si>
  <si>
    <t>25/4 Snapshot-Skopar</t>
  </si>
  <si>
    <t xml:space="preserve">25/4 Snapshot-Skopar (D) </t>
  </si>
  <si>
    <t>28/1.9 ASPH Ultron (D)</t>
  </si>
  <si>
    <t>28/2 Ultron</t>
  </si>
  <si>
    <t>28/3.5 Color Skopar II</t>
  </si>
  <si>
    <t>.09-07</t>
  </si>
  <si>
    <t xml:space="preserve">35/1.2 Nokton ASPH </t>
  </si>
  <si>
    <t>35/1.2 Nokton ASPH II</t>
  </si>
  <si>
    <t>35/1.4  MC/SC Nokton</t>
  </si>
  <si>
    <t>35/1.7  ASPH  Ultron </t>
  </si>
  <si>
    <t>35/1.7  ASPH  Ultron  (D)</t>
  </si>
  <si>
    <t>35/2.5 Color-Skopar C</t>
  </si>
  <si>
    <t>35/2.5 Color-Skopar P</t>
  </si>
  <si>
    <t xml:space="preserve">35/2.5 Color-Skopar P II </t>
  </si>
  <si>
    <t>40/1.4 MC/SC Nokton</t>
  </si>
  <si>
    <t>50/1.1 Nokton</t>
  </si>
  <si>
    <t>50/1.5 ASPH  Nokton</t>
  </si>
  <si>
    <t>50/1.5 ASPH  Nokton (bk)</t>
  </si>
  <si>
    <t>50/2 Heliar (D) collapsible</t>
  </si>
  <si>
    <t xml:space="preserve">50/2.5 Color-Skopar </t>
  </si>
  <si>
    <t>50/3.5 Heliar (D) collapsible</t>
  </si>
  <si>
    <t>75/1.8 Heliar Classic</t>
  </si>
  <si>
    <t xml:space="preserve">75/2.5 Color Heliar </t>
  </si>
  <si>
    <t>90/3.5 Apo Lanthar</t>
  </si>
  <si>
    <t>.18-02</t>
  </si>
  <si>
    <t>Life Size Converter</t>
  </si>
  <si>
    <t>.18-03</t>
  </si>
  <si>
    <t>ppro</t>
  </si>
  <si>
    <t>Distagon 35/1.4 ZM</t>
  </si>
  <si>
    <t>Biogon 35/2.8 ZM</t>
  </si>
  <si>
    <t>C Sonnar 50/1.5 ZM</t>
  </si>
  <si>
    <t>S 25/3.5 sv</t>
  </si>
  <si>
    <t>S 35/1.5 bk</t>
  </si>
  <si>
    <t>S 35/1.8 bk/sv</t>
  </si>
  <si>
    <t>S 35/2 bk</t>
  </si>
  <si>
    <t>S 35/2.8 bk</t>
  </si>
  <si>
    <t>S 50/0.95 bk</t>
  </si>
  <si>
    <t>S 50/1.2 bk</t>
  </si>
  <si>
    <t>S 50/1.4 bk</t>
  </si>
  <si>
    <t>S 85/1.8 bk</t>
  </si>
  <si>
    <t>S 100/2 bk</t>
  </si>
  <si>
    <t>S 135/3.5 III bk</t>
  </si>
  <si>
    <t>Edixa</t>
  </si>
  <si>
    <t>Edixa Color Ennalyt 50mm 1.9</t>
  </si>
  <si>
    <t>RF</t>
  </si>
  <si>
    <t>v.34</t>
  </si>
  <si>
    <t>Edixagon 50/2 M42 (Rdnstock)</t>
  </si>
  <si>
    <t>mamyia/sekor AUTO 85/2.8 SX</t>
  </si>
  <si>
    <t>mamyia/sekor AUTO 55/1.4 SX</t>
  </si>
  <si>
    <t>Biotar 58/2 M42</t>
  </si>
  <si>
    <t>Sonnar 85/2 M42</t>
  </si>
  <si>
    <t>Carl Zeiss Jena M42</t>
  </si>
  <si>
    <t>Voigtlander M42</t>
  </si>
  <si>
    <t xml:space="preserve">Pentax Takumar &amp; SMC Takumar M42 </t>
  </si>
  <si>
    <t>Mamiya M42</t>
  </si>
  <si>
    <t>Fuji Photo M42</t>
  </si>
  <si>
    <t xml:space="preserve"> .18-04</t>
  </si>
  <si>
    <t>Other M42</t>
  </si>
  <si>
    <t>mamyia/sekor AUTO 55/1.8 SX</t>
  </si>
  <si>
    <t>Victar</t>
  </si>
  <si>
    <t>Anastigmat 5cm f/f2.9</t>
  </si>
  <si>
    <t>Biotar 75/1.5 sv</t>
  </si>
  <si>
    <t>Enna-Mchn</t>
  </si>
  <si>
    <t>Tessar 50/2.8 sv</t>
  </si>
  <si>
    <t>1.4</t>
  </si>
  <si>
    <t>.18-04</t>
  </si>
  <si>
    <t>Art 105/1.4 DG  HSM</t>
  </si>
  <si>
    <t xml:space="preserve">Art 14-24/2.8 DG HSM </t>
  </si>
  <si>
    <t>Art 70/2.8 DG macro</t>
  </si>
  <si>
    <t>Art 12-24/4 DG  HSM</t>
  </si>
  <si>
    <t>SMC Pentax "1:3.5/15mm" Asp</t>
  </si>
  <si>
    <t>SMC Pentax 15/3.5</t>
  </si>
  <si>
    <t xml:space="preserve">Super-Takumar 50/1.4 (8,7) </t>
  </si>
  <si>
    <t xml:space="preserve">SMC Takumar 50/1.4 </t>
  </si>
  <si>
    <t>Auto Yashinon-DX 50/1.4 M42</t>
  </si>
  <si>
    <t>.18-05</t>
  </si>
  <si>
    <t>,18-03</t>
  </si>
  <si>
    <t>EF 70-200/4 L IS II USM</t>
  </si>
  <si>
    <t>(Zeiss Jena lenses on M42 page)</t>
  </si>
  <si>
    <t>16-50</t>
  </si>
  <si>
    <t>26-80</t>
  </si>
  <si>
    <t>AT-X Pro 16-50/2.8 DX SD</t>
  </si>
  <si>
    <t>S 100/3.5 III bk</t>
  </si>
  <si>
    <t>.18-06</t>
  </si>
  <si>
    <t>S 85/1.9 II sv</t>
  </si>
  <si>
    <t>Fujinon 55/2.2</t>
  </si>
  <si>
    <t>Sonnar 85/2.8 HFT M42</t>
  </si>
  <si>
    <t>Zuiko 50/1.4 Auto-S OM</t>
  </si>
  <si>
    <t>G.Zuiko 50/1.4 Auto-S M42</t>
  </si>
  <si>
    <t>Flektogon 35/2.8 Macro zb,bk</t>
  </si>
  <si>
    <t>Multi Coating 50/1.8 fr</t>
  </si>
  <si>
    <t>Trioplan 100/2.8 (MC) sv</t>
  </si>
  <si>
    <t>Nikkor *ED 1200/11 IF-ED</t>
  </si>
  <si>
    <t>40/1.2 Nokton Asp</t>
  </si>
  <si>
    <t>AT-X Pro 12-28/4 DX</t>
  </si>
  <si>
    <t>300</t>
  </si>
  <si>
    <t>AT-X Pro 11-20/2.8 DX</t>
  </si>
  <si>
    <t>Art 18-35/1.8 DC HSM</t>
  </si>
  <si>
    <t>50/1.2 Nokton</t>
  </si>
  <si>
    <t>na</t>
  </si>
  <si>
    <t>50/1.2 SP</t>
  </si>
  <si>
    <t>ado vg</t>
  </si>
  <si>
    <t xml:space="preserve">100/2.8  Hexanon AR </t>
  </si>
  <si>
    <t>Konica</t>
  </si>
  <si>
    <t>KAR</t>
  </si>
  <si>
    <t>40/1.8 Hexanon AR</t>
  </si>
  <si>
    <t>85/1.8 Hexanon AR AE lock</t>
  </si>
  <si>
    <t>28/1.8 Hexanon AR</t>
  </si>
  <si>
    <t>55/3.5 Macro-Hexanon 1:2 AR</t>
  </si>
  <si>
    <t>85/1.8 Hexanon AR AE no lock mr</t>
  </si>
  <si>
    <t>50/1.7 Hexanon AR fr.5</t>
  </si>
  <si>
    <t>50/1.7 Hexanon AR fr.4</t>
  </si>
  <si>
    <t>Konica Hexanon AR: http://www.buhla.de/index.html</t>
  </si>
  <si>
    <t xml:space="preserve">135/2  Hexanon AR </t>
  </si>
  <si>
    <t>57/1.2 Hexanon AR yg</t>
  </si>
  <si>
    <t>24/2.8 Hexanon AR f/22 fr.4</t>
  </si>
  <si>
    <t>24/2.8 Hexanon AR f/16 fr.9</t>
  </si>
  <si>
    <t>21/2.8 Hexanon AR</t>
  </si>
  <si>
    <t>.18-07</t>
  </si>
  <si>
    <t>.18-04,</t>
  </si>
  <si>
    <t>260</t>
  </si>
  <si>
    <t>6200+</t>
  </si>
  <si>
    <t>ap'ture</t>
  </si>
  <si>
    <t>S 85/1.5 Serenar I &amp; II sv</t>
  </si>
  <si>
    <t>S 85/2 sv</t>
  </si>
  <si>
    <t>S 28/2.8</t>
  </si>
  <si>
    <t>S 28/3.5 II bk</t>
  </si>
  <si>
    <t xml:space="preserve">S 19/3.5 bk </t>
  </si>
  <si>
    <t>S 50/1.8 III bk</t>
  </si>
  <si>
    <t>S 50/2.8 III bk</t>
  </si>
  <si>
    <t>Sonnar 85/2 ZM</t>
  </si>
  <si>
    <t>Konica Hexanon AR manual focus</t>
  </si>
  <si>
    <t>.2018-09-01</t>
  </si>
  <si>
    <t xml:space="preserve">EF 70-300/4-5.6 IS II nUSM </t>
  </si>
  <si>
    <t>RF 35/1.8 IS STM Macro</t>
  </si>
  <si>
    <t>RF 24-105/4 L IS USM</t>
  </si>
  <si>
    <t>.18-08</t>
  </si>
  <si>
    <t>RF 28-70/2 L USM</t>
  </si>
  <si>
    <t>RF 50/1.2 L USM</t>
  </si>
  <si>
    <t>EF-M 32/1.4 STM</t>
  </si>
  <si>
    <t>EF-S 35/2.8 Macro IS STM</t>
  </si>
  <si>
    <t>zz</t>
  </si>
  <si>
    <t>.18-09</t>
  </si>
  <si>
    <t>Yashinon//Tominon/Cos...Rev...</t>
  </si>
  <si>
    <t>SMC Pentax-D FA 645 55/2.8 AL</t>
  </si>
  <si>
    <t xml:space="preserve">The Lens Price database, Lens$db, is copyright © J.L. Colwell 2005-2018.  You may copy and freely distribute the database to others, but you may not charge or accept any fees, and you may not modify the database.  You may incorporate any information from Lens$db in other publications (online or otherwise), as long as you acknowledge the source.  I attempt to acknowledge all sources I have used (except for eBay sales), and I apologize to any sources I may have missed.  I am grateful to the many people who share photography information online.   I hope this is a useful contribution.  I try to be accurate but I'm sure there are errors and omissions - use this database at your own risk.      </t>
  </si>
  <si>
    <t>RF Lenses (full frame, R = 20 mm)</t>
  </si>
  <si>
    <t>EF-M Lenses (APS-C, R = 18mm)</t>
  </si>
  <si>
    <t>.18-10</t>
  </si>
  <si>
    <t>mamyia/sekor AUTO 28/2.8 SX</t>
  </si>
  <si>
    <t>Canon EOS EF-S</t>
  </si>
  <si>
    <t>Canon EOS EF Zoom</t>
  </si>
  <si>
    <t>Canon EOS EF Prime</t>
  </si>
  <si>
    <t>Canon EOS EF-M</t>
  </si>
  <si>
    <t xml:space="preserve">EF-S Lenses (APS-C, R = 44 mm) </t>
  </si>
  <si>
    <t>i</t>
  </si>
  <si>
    <t>information</t>
  </si>
  <si>
    <t>Canon EOS RF full frame mirrorless lenses</t>
  </si>
  <si>
    <t>Canon EOS EF full frame SLR prime lenses and EF Extenders</t>
  </si>
  <si>
    <t xml:space="preserve">Canon EOS EF-S  APS-C DSLR lenses </t>
  </si>
  <si>
    <t>Canon EOS EF-M APS-C mirrorless lenses</t>
  </si>
  <si>
    <t>Sigma, Tamron, and Tokina SLR lenses</t>
  </si>
  <si>
    <t>Carl Zeiss ZE, C/Y,  and N; Voigtlander and Schneider PC</t>
  </si>
  <si>
    <t>Leica-R, Nikon AI/S, Olympus, Pentax, Hexanon AR, and a few more</t>
  </si>
  <si>
    <t xml:space="preserve">Carl Zeiss, Carl Zeiss Jena, Pentax Takumar, Fuji, Mamiya, etc. </t>
  </si>
  <si>
    <t>Mamiya 645, Pentax 645, and Schneider-K P6 medium format lenses</t>
  </si>
  <si>
    <t>Copyright © J.L. Colwell 2005-2018, www.jcolwell.ca</t>
  </si>
  <si>
    <t>Leica-M, LTM: Zeiss ZM, Canon S, and Voigtlander rangefinder lenses</t>
  </si>
  <si>
    <t>Canon EOS EF full frame SLR  L-series zoom lenses (plus a few others)</t>
  </si>
  <si>
    <t>,18-07</t>
  </si>
  <si>
    <t>Leica M,  Leica Thread mount (LM/LTM)</t>
  </si>
  <si>
    <t>Carl Zeiss Contax manual focus, Contax/Yashica mount (CY, C/Y)</t>
  </si>
  <si>
    <t>Canon EOS RF  lenses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</si>
</sst>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dd"/>
    <numFmt numFmtId="165" formatCode="0.0"/>
  </numFmts>
  <fonts count="14">
    <font>
      <sz val="10"/>
      <name val="Arial"/>
    </font>
    <font>
      <b/>
      <sz val="10"/>
      <name val="Arial"/>
      <family val="2"/>
    </font>
    <font>
      <sz val="10"/>
      <name val="Arial"/>
      <family val="2"/>
    </font>
    <font>
      <sz val="10"/>
      <color indexed="8"/>
      <name val="Arial"/>
      <family val="2"/>
    </font>
    <font>
      <b/>
      <sz val="8"/>
      <name val="Arial"/>
      <family val="2"/>
    </font>
    <font>
      <sz val="8"/>
      <name val="Arial"/>
      <family val="2"/>
    </font>
    <font>
      <sz val="9"/>
      <name val="Arial"/>
      <family val="2"/>
    </font>
    <font>
      <sz val="8"/>
      <color indexed="8"/>
      <name val="Arial"/>
      <family val="2"/>
    </font>
    <font>
      <sz val="7"/>
      <name val="Arial"/>
      <family val="2"/>
    </font>
    <font>
      <i/>
      <sz val="8"/>
      <name val="Arial"/>
      <family val="2"/>
    </font>
    <font>
      <sz val="8"/>
      <color theme="1"/>
      <name val="Arial"/>
      <family val="2"/>
    </font>
    <font>
      <b/>
      <sz val="8"/>
      <color theme="1"/>
      <name val="Arial"/>
      <family val="2"/>
    </font>
    <font>
      <b/>
      <i/>
      <sz val="8"/>
      <name val="Arial"/>
      <family val="2"/>
    </font>
    <font>
      <b/>
      <i/>
      <sz val="8"/>
      <name val="Times New Roman"/>
      <family val="1"/>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220">
    <xf numFmtId="0" fontId="0" fillId="0" borderId="0" xfId="0"/>
    <xf numFmtId="0" fontId="1" fillId="0" borderId="0" xfId="0" applyFont="1" applyAlignment="1"/>
    <xf numFmtId="0" fontId="2" fillId="0" borderId="0" xfId="0" applyFont="1" applyAlignment="1"/>
    <xf numFmtId="0" fontId="1" fillId="0" borderId="0" xfId="0" applyFont="1" applyBorder="1" applyAlignment="1">
      <alignment horizontal="left"/>
    </xf>
    <xf numFmtId="0" fontId="2" fillId="0" borderId="0" xfId="0" applyFont="1" applyBorder="1" applyAlignment="1"/>
    <xf numFmtId="1" fontId="1" fillId="0" borderId="0" xfId="0" applyNumberFormat="1" applyFont="1" applyBorder="1" applyAlignment="1">
      <alignment horizontal="left"/>
    </xf>
    <xf numFmtId="165" fontId="1" fillId="0" borderId="0" xfId="0" applyNumberFormat="1" applyFont="1" applyBorder="1" applyAlignment="1">
      <alignment horizontal="left"/>
    </xf>
    <xf numFmtId="2" fontId="1" fillId="0" borderId="0" xfId="0" applyNumberFormat="1" applyFont="1" applyBorder="1" applyAlignment="1">
      <alignment horizontal="left"/>
    </xf>
    <xf numFmtId="0" fontId="2" fillId="0" borderId="0" xfId="0" applyFont="1" applyBorder="1" applyAlignment="1">
      <alignment horizontal="left"/>
    </xf>
    <xf numFmtId="1" fontId="5" fillId="0" borderId="0" xfId="0" applyNumberFormat="1" applyFont="1" applyFill="1" applyBorder="1" applyAlignment="1">
      <alignment horizontal="center"/>
    </xf>
    <xf numFmtId="0" fontId="5" fillId="0" borderId="0" xfId="0" applyFont="1" applyFill="1" applyBorder="1" applyAlignment="1">
      <alignment horizontal="center"/>
    </xf>
    <xf numFmtId="0" fontId="2" fillId="0" borderId="0" xfId="0" applyFont="1" applyBorder="1" applyAlignment="1">
      <alignment horizontal="center"/>
    </xf>
    <xf numFmtId="0" fontId="2" fillId="0" borderId="0" xfId="0" applyFont="1" applyAlignment="1">
      <alignment horizontal="center"/>
    </xf>
    <xf numFmtId="0" fontId="4" fillId="0" borderId="0" xfId="0" applyFont="1" applyFill="1" applyBorder="1" applyAlignment="1">
      <alignment horizontal="center"/>
    </xf>
    <xf numFmtId="0" fontId="5" fillId="0" borderId="0" xfId="0" applyFont="1" applyFill="1" applyAlignment="1"/>
    <xf numFmtId="1" fontId="4" fillId="0" borderId="0" xfId="0" applyNumberFormat="1" applyFont="1" applyFill="1" applyBorder="1" applyAlignment="1"/>
    <xf numFmtId="1" fontId="4" fillId="0" borderId="0" xfId="0" applyNumberFormat="1" applyFont="1" applyFill="1" applyBorder="1" applyAlignment="1">
      <alignment horizontal="left"/>
    </xf>
    <xf numFmtId="165" fontId="4" fillId="0" borderId="0" xfId="0" applyNumberFormat="1" applyFont="1" applyFill="1" applyBorder="1" applyAlignment="1">
      <alignment horizontal="left"/>
    </xf>
    <xf numFmtId="2" fontId="4" fillId="0" borderId="0" xfId="0" applyNumberFormat="1" applyFont="1" applyFill="1" applyBorder="1" applyAlignment="1"/>
    <xf numFmtId="165" fontId="4" fillId="0" borderId="0" xfId="0" applyNumberFormat="1" applyFont="1" applyFill="1" applyBorder="1" applyAlignment="1"/>
    <xf numFmtId="1" fontId="5" fillId="0" borderId="0" xfId="0" applyNumberFormat="1" applyFont="1" applyFill="1" applyAlignment="1">
      <alignment horizontal="center"/>
    </xf>
    <xf numFmtId="0" fontId="5" fillId="0" borderId="0" xfId="0" applyFont="1" applyFill="1" applyAlignment="1">
      <alignment horizontal="center"/>
    </xf>
    <xf numFmtId="1" fontId="5"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Font="1" applyFill="1" applyBorder="1" applyAlignment="1"/>
    <xf numFmtId="49" fontId="5" fillId="0" borderId="0" xfId="0" applyNumberFormat="1" applyFont="1" applyFill="1" applyBorder="1" applyAlignment="1">
      <alignment horizontal="center"/>
    </xf>
    <xf numFmtId="0" fontId="5" fillId="0" borderId="0" xfId="0" applyFont="1" applyFill="1" applyBorder="1" applyAlignment="1"/>
    <xf numFmtId="0" fontId="6" fillId="0" borderId="0" xfId="0" applyFont="1" applyFill="1" applyAlignment="1"/>
    <xf numFmtId="1" fontId="6" fillId="0" borderId="0" xfId="0" applyNumberFormat="1" applyFont="1" applyFill="1" applyAlignment="1">
      <alignment horizontal="center"/>
    </xf>
    <xf numFmtId="1" fontId="6" fillId="0" borderId="0" xfId="0" applyNumberFormat="1" applyFont="1" applyFill="1" applyBorder="1" applyAlignment="1">
      <alignment horizontal="center"/>
    </xf>
    <xf numFmtId="0" fontId="6" fillId="0" borderId="0" xfId="0" applyFont="1" applyFill="1" applyAlignment="1">
      <alignment horizontal="center"/>
    </xf>
    <xf numFmtId="2" fontId="6" fillId="0" borderId="0" xfId="0" applyNumberFormat="1" applyFont="1" applyFill="1" applyAlignment="1">
      <alignment horizontal="center"/>
    </xf>
    <xf numFmtId="165" fontId="6" fillId="0" borderId="0" xfId="0" applyNumberFormat="1" applyFont="1" applyFill="1" applyAlignment="1">
      <alignment horizontal="center"/>
    </xf>
    <xf numFmtId="1" fontId="6" fillId="0" borderId="0" xfId="0" applyNumberFormat="1" applyFont="1" applyFill="1" applyAlignment="1"/>
    <xf numFmtId="165" fontId="5" fillId="0" borderId="0" xfId="0" applyNumberFormat="1" applyFont="1" applyFill="1" applyAlignment="1">
      <alignment horizontal="center"/>
    </xf>
    <xf numFmtId="2" fontId="5" fillId="0" borderId="0" xfId="0" applyNumberFormat="1" applyFont="1" applyFill="1" applyAlignment="1">
      <alignment horizontal="center"/>
    </xf>
    <xf numFmtId="1" fontId="5" fillId="0" borderId="1" xfId="0" applyNumberFormat="1" applyFont="1" applyFill="1" applyBorder="1" applyAlignment="1">
      <alignment horizontal="center"/>
    </xf>
    <xf numFmtId="1" fontId="4" fillId="0" borderId="1" xfId="0" applyNumberFormat="1" applyFont="1" applyFill="1" applyBorder="1" applyAlignment="1"/>
    <xf numFmtId="165" fontId="4" fillId="0" borderId="1" xfId="0" applyNumberFormat="1" applyFont="1" applyFill="1" applyBorder="1" applyAlignment="1"/>
    <xf numFmtId="164" fontId="5" fillId="0" borderId="1" xfId="0" applyNumberFormat="1" applyFont="1" applyFill="1" applyBorder="1" applyAlignment="1">
      <alignment horizontal="center"/>
    </xf>
    <xf numFmtId="2" fontId="5" fillId="0" borderId="1" xfId="0" applyNumberFormat="1" applyFont="1" applyFill="1" applyBorder="1" applyAlignment="1">
      <alignment horizontal="center"/>
    </xf>
    <xf numFmtId="165" fontId="5" fillId="0" borderId="1" xfId="0" applyNumberFormat="1" applyFont="1" applyFill="1" applyBorder="1" applyAlignment="1">
      <alignment horizontal="center"/>
    </xf>
    <xf numFmtId="1" fontId="4" fillId="0" borderId="4" xfId="0" applyNumberFormat="1" applyFont="1" applyFill="1" applyBorder="1" applyAlignment="1"/>
    <xf numFmtId="1" fontId="5" fillId="0" borderId="5" xfId="0" applyNumberFormat="1" applyFont="1" applyFill="1" applyBorder="1" applyAlignment="1">
      <alignment horizontal="center"/>
    </xf>
    <xf numFmtId="1" fontId="5" fillId="0" borderId="5" xfId="0" applyNumberFormat="1" applyFont="1" applyFill="1" applyBorder="1" applyAlignment="1">
      <alignment horizontal="left"/>
    </xf>
    <xf numFmtId="1" fontId="5" fillId="0" borderId="6" xfId="0" applyNumberFormat="1" applyFont="1" applyFill="1" applyBorder="1" applyAlignment="1">
      <alignment horizontal="left"/>
    </xf>
    <xf numFmtId="1" fontId="5" fillId="0" borderId="0" xfId="0" applyNumberFormat="1" applyFont="1" applyFill="1" applyBorder="1" applyAlignment="1"/>
    <xf numFmtId="165" fontId="5" fillId="0" borderId="0" xfId="0" applyNumberFormat="1" applyFont="1" applyFill="1" applyBorder="1" applyAlignment="1">
      <alignment horizontal="center"/>
    </xf>
    <xf numFmtId="165" fontId="5" fillId="0" borderId="10" xfId="0" applyNumberFormat="1" applyFont="1" applyFill="1" applyBorder="1" applyAlignment="1">
      <alignment horizontal="center"/>
    </xf>
    <xf numFmtId="2" fontId="5" fillId="0" borderId="10" xfId="0" applyNumberFormat="1" applyFont="1" applyFill="1" applyBorder="1" applyAlignment="1">
      <alignment horizontal="center"/>
    </xf>
    <xf numFmtId="1" fontId="5" fillId="0" borderId="8" xfId="0" applyNumberFormat="1" applyFont="1" applyFill="1" applyBorder="1" applyAlignment="1">
      <alignment horizontal="center"/>
    </xf>
    <xf numFmtId="1" fontId="5" fillId="0" borderId="3" xfId="0" applyNumberFormat="1" applyFont="1" applyFill="1" applyBorder="1" applyAlignment="1">
      <alignment horizontal="left"/>
    </xf>
    <xf numFmtId="1" fontId="5" fillId="0" borderId="9" xfId="0" applyNumberFormat="1" applyFont="1" applyFill="1" applyBorder="1" applyAlignment="1">
      <alignment horizontal="center"/>
    </xf>
    <xf numFmtId="1" fontId="5" fillId="0" borderId="1" xfId="0" applyNumberFormat="1" applyFont="1" applyFill="1" applyBorder="1" applyAlignment="1">
      <alignment horizontal="left"/>
    </xf>
    <xf numFmtId="1" fontId="5" fillId="0" borderId="11" xfId="0" applyNumberFormat="1" applyFont="1" applyFill="1" applyBorder="1" applyAlignment="1"/>
    <xf numFmtId="1" fontId="5" fillId="0" borderId="4" xfId="0" applyNumberFormat="1" applyFont="1" applyFill="1" applyBorder="1" applyAlignment="1">
      <alignment horizontal="center"/>
    </xf>
    <xf numFmtId="1" fontId="5" fillId="0" borderId="4" xfId="0" applyNumberFormat="1" applyFont="1" applyFill="1" applyBorder="1" applyAlignment="1"/>
    <xf numFmtId="0" fontId="5" fillId="0" borderId="1" xfId="0" applyFont="1" applyFill="1" applyBorder="1" applyAlignment="1"/>
    <xf numFmtId="1" fontId="5" fillId="0" borderId="1" xfId="0" applyNumberFormat="1" applyFont="1" applyFill="1" applyBorder="1" applyAlignment="1"/>
    <xf numFmtId="165" fontId="5" fillId="0" borderId="3" xfId="0" applyNumberFormat="1" applyFont="1" applyFill="1" applyBorder="1" applyAlignment="1">
      <alignment horizontal="center"/>
    </xf>
    <xf numFmtId="2" fontId="5" fillId="0" borderId="3" xfId="0" applyNumberFormat="1" applyFont="1" applyFill="1" applyBorder="1" applyAlignment="1">
      <alignment horizontal="center"/>
    </xf>
    <xf numFmtId="1" fontId="5" fillId="0" borderId="3" xfId="0" applyNumberFormat="1" applyFont="1" applyFill="1" applyBorder="1" applyAlignment="1">
      <alignment horizontal="center"/>
    </xf>
    <xf numFmtId="1" fontId="5" fillId="0" borderId="6" xfId="0" applyNumberFormat="1" applyFont="1" applyFill="1" applyBorder="1" applyAlignment="1">
      <alignment horizontal="center"/>
    </xf>
    <xf numFmtId="0" fontId="5" fillId="0" borderId="0" xfId="0" applyFont="1" applyFill="1" applyAlignment="1">
      <alignment horizontal="left"/>
    </xf>
    <xf numFmtId="2" fontId="5" fillId="0" borderId="13" xfId="0" applyNumberFormat="1" applyFont="1" applyFill="1" applyBorder="1" applyAlignment="1">
      <alignment horizontal="center"/>
    </xf>
    <xf numFmtId="1" fontId="5" fillId="0" borderId="2" xfId="0" applyNumberFormat="1" applyFont="1" applyFill="1" applyBorder="1" applyAlignment="1">
      <alignment horizontal="center"/>
    </xf>
    <xf numFmtId="0" fontId="5" fillId="0" borderId="8" xfId="0" applyFont="1" applyFill="1" applyBorder="1" applyAlignment="1">
      <alignment horizontal="center"/>
    </xf>
    <xf numFmtId="0" fontId="5" fillId="0" borderId="1" xfId="0" applyFont="1" applyFill="1" applyBorder="1" applyAlignment="1">
      <alignment horizontal="left"/>
    </xf>
    <xf numFmtId="49" fontId="5" fillId="0" borderId="1" xfId="0" applyNumberFormat="1" applyFont="1" applyFill="1" applyBorder="1" applyAlignment="1">
      <alignment horizontal="center"/>
    </xf>
    <xf numFmtId="2" fontId="5" fillId="0" borderId="12" xfId="0" applyNumberFormat="1" applyFont="1" applyFill="1" applyBorder="1" applyAlignment="1">
      <alignment horizontal="center"/>
    </xf>
    <xf numFmtId="0" fontId="1" fillId="0" borderId="0" xfId="0" applyFont="1" applyAlignment="1">
      <alignment horizontal="center"/>
    </xf>
    <xf numFmtId="0" fontId="5" fillId="0" borderId="1" xfId="0" applyFont="1" applyFill="1" applyBorder="1" applyAlignment="1">
      <alignment horizontal="center"/>
    </xf>
    <xf numFmtId="0" fontId="5" fillId="0" borderId="12" xfId="0" applyFont="1" applyFill="1" applyBorder="1" applyAlignment="1">
      <alignment horizontal="center"/>
    </xf>
    <xf numFmtId="0" fontId="5" fillId="0" borderId="0" xfId="0" applyFont="1" applyFill="1" applyBorder="1" applyAlignment="1">
      <alignment horizontal="left"/>
    </xf>
    <xf numFmtId="0" fontId="5" fillId="0" borderId="13" xfId="0" applyFont="1" applyFill="1" applyBorder="1" applyAlignment="1">
      <alignment horizontal="center"/>
    </xf>
    <xf numFmtId="165" fontId="5" fillId="0" borderId="2" xfId="0" applyNumberFormat="1" applyFont="1" applyFill="1" applyBorder="1" applyAlignment="1">
      <alignment horizontal="center"/>
    </xf>
    <xf numFmtId="2" fontId="5" fillId="0" borderId="0" xfId="0" applyNumberFormat="1" applyFont="1" applyFill="1" applyBorder="1" applyAlignment="1">
      <alignment horizontal="center"/>
    </xf>
    <xf numFmtId="1" fontId="5" fillId="0" borderId="10" xfId="0" applyNumberFormat="1" applyFont="1" applyFill="1" applyBorder="1" applyAlignment="1">
      <alignment horizontal="center"/>
    </xf>
    <xf numFmtId="1" fontId="5" fillId="0" borderId="7" xfId="0" applyNumberFormat="1" applyFont="1" applyFill="1" applyBorder="1" applyAlignment="1">
      <alignment horizontal="center"/>
    </xf>
    <xf numFmtId="0" fontId="5" fillId="0" borderId="2" xfId="0" applyFont="1" applyFill="1" applyBorder="1" applyAlignment="1">
      <alignment horizontal="center"/>
    </xf>
    <xf numFmtId="0" fontId="5" fillId="0" borderId="0" xfId="0" applyFont="1" applyFill="1" applyBorder="1" applyAlignment="1" applyProtection="1">
      <alignment horizontal="left"/>
      <protection locked="0"/>
    </xf>
    <xf numFmtId="1" fontId="5"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5" fillId="0" borderId="2" xfId="0" applyNumberFormat="1" applyFont="1" applyFill="1" applyBorder="1" applyAlignment="1" applyProtection="1">
      <alignment horizontal="center"/>
      <protection locked="0"/>
    </xf>
    <xf numFmtId="165" fontId="5" fillId="0" borderId="2" xfId="0" applyNumberFormat="1" applyFont="1" applyFill="1" applyBorder="1" applyAlignment="1" applyProtection="1">
      <alignment horizontal="center"/>
      <protection locked="0"/>
    </xf>
    <xf numFmtId="2" fontId="5" fillId="0" borderId="0" xfId="0" applyNumberFormat="1" applyFont="1" applyFill="1" applyBorder="1" applyAlignment="1" applyProtection="1">
      <alignment horizontal="center"/>
      <protection locked="0"/>
    </xf>
    <xf numFmtId="1" fontId="5" fillId="0" borderId="8"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5" fillId="0" borderId="1" xfId="0" applyFont="1" applyFill="1" applyBorder="1" applyAlignment="1" applyProtection="1">
      <alignment horizontal="left"/>
      <protection locked="0"/>
    </xf>
    <xf numFmtId="1" fontId="5" fillId="0" borderId="1" xfId="0" applyNumberFormat="1" applyFont="1" applyFill="1" applyBorder="1" applyAlignment="1" applyProtection="1">
      <alignment horizontal="center"/>
      <protection locked="0"/>
    </xf>
    <xf numFmtId="2" fontId="5" fillId="0" borderId="3" xfId="0" applyNumberFormat="1" applyFont="1" applyFill="1" applyBorder="1" applyAlignment="1" applyProtection="1">
      <alignment horizontal="center"/>
      <protection locked="0"/>
    </xf>
    <xf numFmtId="165" fontId="5" fillId="0" borderId="3" xfId="0" applyNumberFormat="1" applyFont="1" applyFill="1" applyBorder="1" applyAlignment="1" applyProtection="1">
      <alignment horizontal="center"/>
      <protection locked="0"/>
    </xf>
    <xf numFmtId="2" fontId="5" fillId="0" borderId="1" xfId="0" applyNumberFormat="1" applyFont="1" applyFill="1" applyBorder="1" applyAlignment="1" applyProtection="1">
      <alignment horizontal="center"/>
      <protection locked="0"/>
    </xf>
    <xf numFmtId="1" fontId="5" fillId="0" borderId="9" xfId="0" applyNumberFormat="1" applyFont="1" applyFill="1" applyBorder="1" applyAlignment="1" applyProtection="1">
      <alignment horizontal="center"/>
      <protection locked="0"/>
    </xf>
    <xf numFmtId="1" fontId="5" fillId="0" borderId="3" xfId="0" applyNumberFormat="1"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5" fillId="0" borderId="2" xfId="0" applyFont="1" applyFill="1" applyBorder="1" applyAlignment="1" applyProtection="1">
      <alignment horizontal="center"/>
      <protection locked="0"/>
    </xf>
    <xf numFmtId="0" fontId="5" fillId="0" borderId="8" xfId="0" applyFont="1" applyFill="1" applyBorder="1" applyAlignment="1" applyProtection="1">
      <alignment horizontal="center"/>
      <protection locked="0"/>
    </xf>
    <xf numFmtId="2" fontId="5" fillId="0" borderId="13" xfId="0" applyNumberFormat="1" applyFont="1" applyFill="1" applyBorder="1" applyAlignment="1" applyProtection="1">
      <alignment horizontal="center"/>
      <protection locked="0"/>
    </xf>
    <xf numFmtId="49" fontId="5" fillId="0" borderId="2" xfId="0" applyNumberFormat="1" applyFont="1" applyFill="1" applyBorder="1" applyAlignment="1" applyProtection="1">
      <alignment horizontal="center"/>
      <protection locked="0"/>
    </xf>
    <xf numFmtId="49" fontId="5" fillId="0" borderId="8" xfId="0" applyNumberFormat="1" applyFont="1" applyFill="1" applyBorder="1" applyAlignment="1" applyProtection="1">
      <alignment horizontal="center"/>
      <protection locked="0"/>
    </xf>
    <xf numFmtId="49" fontId="4" fillId="0" borderId="2" xfId="0" applyNumberFormat="1" applyFont="1" applyFill="1" applyBorder="1" applyAlignment="1" applyProtection="1">
      <alignment horizontal="center"/>
      <protection locked="0"/>
    </xf>
    <xf numFmtId="165" fontId="5" fillId="0" borderId="1"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center"/>
      <protection locked="0"/>
    </xf>
    <xf numFmtId="1" fontId="4" fillId="0" borderId="0" xfId="0" applyNumberFormat="1" applyFont="1" applyFill="1" applyBorder="1" applyAlignment="1" applyProtection="1">
      <alignment horizontal="center"/>
      <protection locked="0"/>
    </xf>
    <xf numFmtId="49" fontId="5" fillId="0" borderId="0" xfId="0" applyNumberFormat="1" applyFont="1" applyFill="1" applyBorder="1" applyAlignment="1" applyProtection="1">
      <alignment horizontal="left"/>
      <protection locked="0"/>
    </xf>
    <xf numFmtId="49" fontId="5" fillId="0" borderId="0" xfId="0" applyNumberFormat="1" applyFont="1" applyFill="1" applyBorder="1" applyAlignment="1">
      <alignment horizontal="left"/>
    </xf>
    <xf numFmtId="2" fontId="5" fillId="0" borderId="8" xfId="0" applyNumberFormat="1" applyFont="1" applyFill="1" applyBorder="1" applyAlignment="1" applyProtection="1">
      <alignment horizontal="center"/>
      <protection locked="0"/>
    </xf>
    <xf numFmtId="0" fontId="2" fillId="0" borderId="0" xfId="0" applyFont="1" applyFill="1" applyAlignment="1"/>
    <xf numFmtId="0" fontId="2" fillId="0" borderId="0" xfId="0" applyFont="1" applyFill="1" applyBorder="1" applyAlignment="1">
      <alignment horizontal="left"/>
    </xf>
    <xf numFmtId="0" fontId="2" fillId="0" borderId="0" xfId="0" applyFont="1" applyFill="1" applyBorder="1" applyAlignment="1"/>
    <xf numFmtId="2" fontId="2" fillId="0" borderId="11" xfId="0" applyNumberFormat="1" applyFont="1" applyFill="1" applyBorder="1" applyAlignment="1">
      <alignment horizontal="center"/>
    </xf>
    <xf numFmtId="0" fontId="9" fillId="0" borderId="0" xfId="0" applyFont="1" applyFill="1" applyBorder="1" applyAlignment="1">
      <alignment horizontal="left"/>
    </xf>
    <xf numFmtId="0" fontId="9" fillId="0" borderId="0" xfId="0" applyFont="1" applyFill="1" applyBorder="1"/>
    <xf numFmtId="0" fontId="5" fillId="0" borderId="0" xfId="0" applyFont="1" applyFill="1" applyBorder="1"/>
    <xf numFmtId="165" fontId="9" fillId="0" borderId="2" xfId="0" applyNumberFormat="1" applyFont="1" applyFill="1" applyBorder="1" applyAlignment="1">
      <alignment horizontal="center"/>
    </xf>
    <xf numFmtId="1" fontId="4" fillId="0" borderId="2" xfId="0" applyNumberFormat="1" applyFont="1" applyFill="1" applyBorder="1" applyAlignment="1" applyProtection="1">
      <alignment horizontal="center"/>
      <protection locked="0"/>
    </xf>
    <xf numFmtId="49" fontId="5" fillId="0" borderId="1" xfId="0" applyNumberFormat="1" applyFont="1" applyFill="1" applyBorder="1" applyAlignment="1" applyProtection="1">
      <alignment horizontal="center"/>
      <protection locked="0"/>
    </xf>
    <xf numFmtId="49" fontId="5" fillId="0" borderId="8" xfId="0" applyNumberFormat="1" applyFont="1" applyFill="1" applyBorder="1" applyAlignment="1">
      <alignment horizontal="center"/>
    </xf>
    <xf numFmtId="0" fontId="4" fillId="0" borderId="1" xfId="0" applyFont="1" applyFill="1" applyBorder="1" applyAlignment="1"/>
    <xf numFmtId="0" fontId="5" fillId="0" borderId="10" xfId="0" applyFont="1" applyFill="1" applyBorder="1" applyAlignment="1">
      <alignment horizontal="left"/>
    </xf>
    <xf numFmtId="0" fontId="5" fillId="0" borderId="14" xfId="0" applyFont="1" applyFill="1" applyBorder="1" applyAlignment="1"/>
    <xf numFmtId="0" fontId="5" fillId="0" borderId="14" xfId="0" applyFont="1" applyFill="1" applyBorder="1" applyAlignment="1">
      <alignment horizontal="center"/>
    </xf>
    <xf numFmtId="0" fontId="5" fillId="0" borderId="15" xfId="0" applyFont="1" applyFill="1" applyBorder="1" applyAlignment="1">
      <alignment horizontal="center"/>
    </xf>
    <xf numFmtId="2" fontId="5" fillId="0" borderId="14" xfId="0" applyNumberFormat="1" applyFont="1" applyFill="1" applyBorder="1" applyAlignment="1">
      <alignment horizontal="center"/>
    </xf>
    <xf numFmtId="1" fontId="5" fillId="0" borderId="14" xfId="0" applyNumberFormat="1" applyFont="1" applyFill="1" applyBorder="1" applyAlignment="1">
      <alignment horizontal="center"/>
    </xf>
    <xf numFmtId="49" fontId="5" fillId="0" borderId="14" xfId="0" applyNumberFormat="1" applyFont="1" applyFill="1" applyBorder="1" applyAlignment="1">
      <alignment horizontal="center"/>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5" xfId="0" applyFont="1" applyFill="1" applyBorder="1" applyAlignment="1"/>
    <xf numFmtId="0" fontId="5" fillId="0" borderId="5" xfId="0" applyFont="1" applyFill="1" applyBorder="1" applyAlignment="1">
      <alignment horizontal="center"/>
    </xf>
    <xf numFmtId="0" fontId="5" fillId="0" borderId="11" xfId="0" applyFont="1" applyFill="1" applyBorder="1" applyAlignment="1">
      <alignment horizontal="center"/>
    </xf>
    <xf numFmtId="165" fontId="5" fillId="0" borderId="4" xfId="0" applyNumberFormat="1" applyFont="1" applyFill="1" applyBorder="1" applyAlignment="1">
      <alignment horizontal="center"/>
    </xf>
    <xf numFmtId="2" fontId="5" fillId="0" borderId="5" xfId="0" applyNumberFormat="1" applyFont="1" applyFill="1" applyBorder="1" applyAlignment="1">
      <alignment horizontal="center"/>
    </xf>
    <xf numFmtId="49" fontId="5" fillId="0" borderId="5" xfId="0" applyNumberFormat="1" applyFont="1" applyFill="1" applyBorder="1" applyAlignment="1">
      <alignment horizontal="center"/>
    </xf>
    <xf numFmtId="1" fontId="4" fillId="0" borderId="2" xfId="0" applyNumberFormat="1" applyFont="1" applyFill="1" applyBorder="1" applyAlignment="1">
      <alignment horizontal="center"/>
    </xf>
    <xf numFmtId="0" fontId="4" fillId="0" borderId="5" xfId="0" applyFont="1" applyFill="1" applyBorder="1" applyAlignment="1"/>
    <xf numFmtId="165" fontId="5" fillId="0" borderId="5" xfId="0" applyNumberFormat="1" applyFont="1" applyFill="1" applyBorder="1" applyAlignment="1">
      <alignment horizontal="center"/>
    </xf>
    <xf numFmtId="0" fontId="5" fillId="0" borderId="5" xfId="0" applyFont="1" applyFill="1" applyBorder="1" applyAlignment="1">
      <alignment horizontal="left"/>
    </xf>
    <xf numFmtId="49" fontId="5" fillId="0" borderId="0" xfId="0" applyNumberFormat="1" applyFont="1" applyFill="1" applyBorder="1" applyAlignment="1"/>
    <xf numFmtId="1" fontId="9" fillId="0" borderId="2" xfId="0" applyNumberFormat="1" applyFont="1" applyFill="1" applyBorder="1" applyAlignment="1" applyProtection="1">
      <alignment horizontal="center"/>
      <protection locked="0"/>
    </xf>
    <xf numFmtId="49" fontId="5" fillId="0" borderId="0" xfId="0" applyNumberFormat="1" applyFont="1" applyFill="1" applyAlignment="1">
      <alignment horizontal="center"/>
    </xf>
    <xf numFmtId="164" fontId="5" fillId="0" borderId="1" xfId="0" applyNumberFormat="1" applyFont="1" applyFill="1" applyBorder="1" applyAlignment="1">
      <alignment horizontal="left"/>
    </xf>
    <xf numFmtId="0" fontId="4" fillId="0" borderId="4" xfId="0" applyFont="1" applyFill="1" applyBorder="1" applyAlignment="1"/>
    <xf numFmtId="0" fontId="4" fillId="0" borderId="10" xfId="0" applyFont="1" applyFill="1" applyBorder="1" applyAlignment="1"/>
    <xf numFmtId="0" fontId="5" fillId="0" borderId="10" xfId="0" applyFont="1" applyFill="1" applyBorder="1" applyAlignment="1">
      <alignment horizontal="center"/>
    </xf>
    <xf numFmtId="0" fontId="5" fillId="0" borderId="4" xfId="0" applyFont="1" applyFill="1" applyBorder="1" applyAlignment="1"/>
    <xf numFmtId="0" fontId="5" fillId="0" borderId="12" xfId="0" applyNumberFormat="1" applyFont="1" applyFill="1" applyBorder="1" applyAlignment="1">
      <alignment horizontal="center"/>
    </xf>
    <xf numFmtId="2" fontId="5" fillId="0" borderId="2" xfId="0" applyNumberFormat="1" applyFont="1" applyFill="1" applyBorder="1" applyAlignment="1">
      <alignment horizontal="center"/>
    </xf>
    <xf numFmtId="1" fontId="4" fillId="0" borderId="0" xfId="0" applyNumberFormat="1" applyFont="1" applyFill="1" applyBorder="1" applyAlignment="1">
      <alignment horizontal="center"/>
    </xf>
    <xf numFmtId="1" fontId="4" fillId="0" borderId="3" xfId="0" applyNumberFormat="1" applyFont="1" applyFill="1" applyBorder="1" applyAlignment="1">
      <alignment horizontal="center"/>
    </xf>
    <xf numFmtId="0" fontId="5" fillId="0" borderId="1" xfId="0" applyFont="1" applyFill="1" applyBorder="1" applyAlignment="1">
      <alignment horizontal="right"/>
    </xf>
    <xf numFmtId="0" fontId="5" fillId="0" borderId="3" xfId="0" applyNumberFormat="1" applyFont="1" applyFill="1" applyBorder="1" applyAlignment="1">
      <alignment horizontal="center"/>
    </xf>
    <xf numFmtId="1" fontId="9" fillId="0" borderId="0" xfId="0" applyNumberFormat="1" applyFont="1" applyFill="1" applyBorder="1" applyAlignment="1">
      <alignment horizontal="center"/>
    </xf>
    <xf numFmtId="2" fontId="9" fillId="0" borderId="0" xfId="0" applyNumberFormat="1" applyFont="1" applyFill="1" applyBorder="1" applyAlignment="1">
      <alignment horizontal="center"/>
    </xf>
    <xf numFmtId="1" fontId="9" fillId="0" borderId="8" xfId="0" applyNumberFormat="1" applyFont="1" applyFill="1" applyBorder="1" applyAlignment="1">
      <alignment horizontal="center"/>
    </xf>
    <xf numFmtId="0" fontId="7" fillId="0" borderId="0" xfId="0" applyFont="1" applyFill="1" applyBorder="1" applyAlignment="1">
      <alignment wrapText="1"/>
    </xf>
    <xf numFmtId="0" fontId="5" fillId="0" borderId="2" xfId="0" applyNumberFormat="1" applyFont="1" applyFill="1" applyBorder="1" applyAlignment="1">
      <alignment horizontal="center"/>
    </xf>
    <xf numFmtId="2" fontId="5" fillId="0" borderId="0" xfId="0" applyNumberFormat="1" applyFont="1" applyFill="1" applyBorder="1" applyAlignment="1">
      <alignment horizontal="left"/>
    </xf>
    <xf numFmtId="0" fontId="5" fillId="0" borderId="1" xfId="0" applyFont="1" applyFill="1" applyBorder="1"/>
    <xf numFmtId="16" fontId="5" fillId="0" borderId="8" xfId="0" applyNumberFormat="1" applyFont="1" applyFill="1" applyBorder="1" applyAlignment="1">
      <alignment horizontal="center"/>
    </xf>
    <xf numFmtId="1" fontId="12" fillId="0" borderId="0" xfId="0" applyNumberFormat="1" applyFont="1" applyFill="1" applyBorder="1" applyAlignment="1">
      <alignment horizontal="center"/>
    </xf>
    <xf numFmtId="1" fontId="12" fillId="0" borderId="1" xfId="0" applyNumberFormat="1" applyFont="1" applyFill="1" applyBorder="1" applyAlignment="1">
      <alignment horizontal="center"/>
    </xf>
    <xf numFmtId="1" fontId="5" fillId="0" borderId="12" xfId="0" applyNumberFormat="1" applyFont="1" applyFill="1" applyBorder="1" applyAlignment="1">
      <alignment horizontal="center"/>
    </xf>
    <xf numFmtId="1" fontId="13" fillId="0" borderId="0" xfId="0" applyNumberFormat="1" applyFont="1" applyFill="1" applyBorder="1" applyAlignment="1">
      <alignment horizontal="center"/>
    </xf>
    <xf numFmtId="1" fontId="4" fillId="0" borderId="1" xfId="0" applyNumberFormat="1" applyFont="1" applyFill="1" applyBorder="1" applyAlignment="1">
      <alignment horizontal="center"/>
    </xf>
    <xf numFmtId="49" fontId="5" fillId="0" borderId="7" xfId="0" applyNumberFormat="1" applyFont="1" applyFill="1" applyBorder="1" applyAlignment="1">
      <alignment horizontal="center"/>
    </xf>
    <xf numFmtId="49" fontId="5" fillId="0" borderId="9" xfId="0" applyNumberFormat="1" applyFont="1" applyFill="1" applyBorder="1" applyAlignment="1">
      <alignment horizontal="center"/>
    </xf>
    <xf numFmtId="165" fontId="10" fillId="0" borderId="2"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165" fontId="10" fillId="0" borderId="3" xfId="0" applyNumberFormat="1" applyFont="1" applyFill="1" applyBorder="1" applyAlignment="1" applyProtection="1">
      <alignment horizontal="center"/>
      <protection locked="0"/>
    </xf>
    <xf numFmtId="2" fontId="10" fillId="0" borderId="1" xfId="0" applyNumberFormat="1" applyFont="1" applyFill="1" applyBorder="1" applyAlignment="1" applyProtection="1">
      <alignment horizontal="center"/>
      <protection locked="0"/>
    </xf>
    <xf numFmtId="1" fontId="10" fillId="0" borderId="1" xfId="0" applyNumberFormat="1" applyFont="1" applyFill="1" applyBorder="1" applyAlignment="1" applyProtection="1">
      <alignment horizontal="center"/>
      <protection locked="0"/>
    </xf>
    <xf numFmtId="1" fontId="10" fillId="0" borderId="9" xfId="0" applyNumberFormat="1" applyFont="1" applyFill="1" applyBorder="1" applyAlignment="1" applyProtection="1">
      <alignment horizontal="center"/>
      <protection locked="0"/>
    </xf>
    <xf numFmtId="0" fontId="4" fillId="0" borderId="0" xfId="0" applyFont="1" applyFill="1" applyBorder="1" applyAlignment="1">
      <alignment horizontal="left"/>
    </xf>
    <xf numFmtId="0" fontId="4" fillId="0" borderId="1" xfId="0" applyFont="1" applyFill="1" applyBorder="1" applyAlignment="1">
      <alignment horizontal="center"/>
    </xf>
    <xf numFmtId="1" fontId="4" fillId="0" borderId="10" xfId="0" applyNumberFormat="1" applyFont="1" applyFill="1" applyBorder="1" applyAlignment="1"/>
    <xf numFmtId="49" fontId="4" fillId="0" borderId="0" xfId="0" applyNumberFormat="1" applyFont="1" applyFill="1" applyBorder="1" applyAlignment="1"/>
    <xf numFmtId="1" fontId="5" fillId="0" borderId="5" xfId="0" applyNumberFormat="1" applyFont="1" applyFill="1" applyBorder="1" applyAlignment="1"/>
    <xf numFmtId="49" fontId="5" fillId="0" borderId="1" xfId="0" applyNumberFormat="1" applyFont="1" applyFill="1" applyBorder="1" applyAlignment="1"/>
    <xf numFmtId="0" fontId="5" fillId="0" borderId="9" xfId="0" applyFont="1" applyFill="1" applyBorder="1" applyAlignment="1">
      <alignment horizontal="center"/>
    </xf>
    <xf numFmtId="165" fontId="5" fillId="0" borderId="8" xfId="0" applyNumberFormat="1" applyFont="1" applyFill="1" applyBorder="1" applyAlignment="1">
      <alignment horizontal="center"/>
    </xf>
    <xf numFmtId="165" fontId="5" fillId="0" borderId="9" xfId="0" applyNumberFormat="1" applyFont="1" applyFill="1" applyBorder="1" applyAlignment="1">
      <alignment horizontal="center"/>
    </xf>
    <xf numFmtId="1" fontId="5" fillId="0" borderId="0" xfId="0" applyNumberFormat="1" applyFont="1" applyFill="1" applyAlignment="1"/>
    <xf numFmtId="0" fontId="5" fillId="0" borderId="7" xfId="0" applyFont="1" applyFill="1" applyBorder="1" applyAlignment="1">
      <alignment horizontal="center"/>
    </xf>
    <xf numFmtId="1" fontId="5" fillId="0" borderId="14" xfId="0" applyNumberFormat="1" applyFont="1" applyFill="1" applyBorder="1" applyAlignment="1">
      <alignment horizontal="left"/>
    </xf>
    <xf numFmtId="1" fontId="10" fillId="0" borderId="3" xfId="0" applyNumberFormat="1" applyFont="1" applyFill="1" applyBorder="1" applyAlignment="1">
      <alignment horizontal="center"/>
    </xf>
    <xf numFmtId="49" fontId="5" fillId="0" borderId="2" xfId="0" applyNumberFormat="1" applyFont="1" applyFill="1" applyBorder="1" applyAlignment="1">
      <alignment horizontal="center"/>
    </xf>
    <xf numFmtId="49" fontId="4" fillId="0" borderId="2" xfId="0" applyNumberFormat="1" applyFont="1" applyFill="1" applyBorder="1" applyAlignment="1">
      <alignment horizontal="center"/>
    </xf>
    <xf numFmtId="0" fontId="5" fillId="0" borderId="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3" xfId="0" applyFont="1" applyFill="1" applyBorder="1" applyAlignment="1">
      <alignment horizontal="center"/>
    </xf>
    <xf numFmtId="0" fontId="7" fillId="0" borderId="0" xfId="0" applyFont="1" applyFill="1" applyBorder="1" applyAlignment="1">
      <alignment horizontal="left"/>
    </xf>
    <xf numFmtId="16" fontId="5" fillId="0" borderId="0" xfId="0" applyNumberFormat="1" applyFont="1" applyFill="1" applyBorder="1" applyAlignment="1">
      <alignment horizontal="left"/>
    </xf>
    <xf numFmtId="1" fontId="8" fillId="0" borderId="8" xfId="0" applyNumberFormat="1" applyFont="1" applyFill="1" applyBorder="1" applyAlignment="1">
      <alignment horizontal="center"/>
    </xf>
    <xf numFmtId="1" fontId="8" fillId="0" borderId="0" xfId="0" applyNumberFormat="1" applyFont="1" applyFill="1" applyBorder="1" applyAlignment="1">
      <alignment horizontal="center"/>
    </xf>
    <xf numFmtId="1" fontId="8"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4" fillId="0" borderId="2" xfId="0" applyFont="1" applyFill="1" applyBorder="1" applyAlignment="1">
      <alignment horizontal="center"/>
    </xf>
    <xf numFmtId="0" fontId="10" fillId="0" borderId="1" xfId="0" applyFont="1" applyFill="1" applyBorder="1" applyAlignment="1">
      <alignment horizontal="left"/>
    </xf>
    <xf numFmtId="1" fontId="10" fillId="0" borderId="1" xfId="0" applyNumberFormat="1" applyFont="1" applyFill="1" applyBorder="1" applyAlignment="1">
      <alignment horizontal="center"/>
    </xf>
    <xf numFmtId="0" fontId="10" fillId="0" borderId="1" xfId="0" applyFont="1" applyFill="1" applyBorder="1" applyAlignment="1">
      <alignment horizontal="center"/>
    </xf>
    <xf numFmtId="2" fontId="10" fillId="0" borderId="3" xfId="0" applyNumberFormat="1" applyFont="1" applyFill="1" applyBorder="1" applyAlignment="1">
      <alignment horizontal="center"/>
    </xf>
    <xf numFmtId="165" fontId="10" fillId="0" borderId="3" xfId="0" applyNumberFormat="1" applyFont="1" applyFill="1" applyBorder="1" applyAlignment="1">
      <alignment horizontal="center"/>
    </xf>
    <xf numFmtId="2" fontId="10" fillId="0" borderId="1" xfId="0" applyNumberFormat="1" applyFont="1" applyFill="1" applyBorder="1" applyAlignment="1">
      <alignment horizontal="center"/>
    </xf>
    <xf numFmtId="1" fontId="10" fillId="0" borderId="9" xfId="0" applyNumberFormat="1" applyFont="1" applyFill="1" applyBorder="1" applyAlignment="1">
      <alignment horizontal="center"/>
    </xf>
    <xf numFmtId="1" fontId="10" fillId="0" borderId="8" xfId="0" applyNumberFormat="1" applyFont="1" applyFill="1" applyBorder="1" applyAlignment="1">
      <alignment horizontal="center"/>
    </xf>
    <xf numFmtId="1" fontId="11" fillId="0" borderId="3" xfId="0" applyNumberFormat="1" applyFont="1" applyFill="1" applyBorder="1" applyAlignment="1">
      <alignment horizontal="center"/>
    </xf>
    <xf numFmtId="1" fontId="4" fillId="0" borderId="3" xfId="0" applyNumberFormat="1" applyFont="1" applyFill="1" applyBorder="1" applyAlignment="1" applyProtection="1">
      <alignment horizontal="center"/>
      <protection locked="0"/>
    </xf>
    <xf numFmtId="1" fontId="5" fillId="0" borderId="0" xfId="0" applyNumberFormat="1" applyFont="1" applyFill="1" applyAlignment="1" applyProtection="1">
      <alignment horizontal="center"/>
      <protection locked="0"/>
    </xf>
    <xf numFmtId="165" fontId="8" fillId="0" borderId="2" xfId="0" applyNumberFormat="1" applyFont="1" applyFill="1" applyBorder="1" applyAlignment="1" applyProtection="1">
      <alignment horizontal="center"/>
      <protection locked="0"/>
    </xf>
    <xf numFmtId="1" fontId="5" fillId="0" borderId="10" xfId="0" applyNumberFormat="1" applyFont="1" applyFill="1" applyBorder="1" applyAlignment="1" applyProtection="1">
      <alignment horizontal="center"/>
      <protection locked="0"/>
    </xf>
    <xf numFmtId="1" fontId="5" fillId="0" borderId="14" xfId="0" applyNumberFormat="1" applyFont="1" applyFill="1" applyBorder="1" applyAlignment="1" applyProtection="1">
      <alignment horizontal="center"/>
      <protection locked="0"/>
    </xf>
    <xf numFmtId="1" fontId="5" fillId="0" borderId="7" xfId="0" applyNumberFormat="1" applyFont="1" applyFill="1" applyBorder="1" applyAlignment="1" applyProtection="1">
      <alignment horizontal="center"/>
      <protection locked="0"/>
    </xf>
    <xf numFmtId="0" fontId="2" fillId="0" borderId="1" xfId="0" applyFont="1" applyBorder="1" applyAlignment="1"/>
    <xf numFmtId="0" fontId="2" fillId="0" borderId="1" xfId="0" applyFont="1" applyBorder="1" applyAlignment="1">
      <alignment horizontal="left"/>
    </xf>
    <xf numFmtId="0" fontId="3" fillId="0" borderId="0" xfId="0" applyFont="1" applyAlignment="1">
      <alignment horizontal="left" vertical="top" wrapText="1"/>
    </xf>
  </cellXfs>
  <cellStyles count="2">
    <cellStyle name="Normal" xfId="0" builtinId="0"/>
    <cellStyle name="Normal 2" xfId="1"/>
  </cellStyles>
  <dxfs count="21">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
      <font>
        <condense val="0"/>
        <extend val="0"/>
        <color indexed="53"/>
      </font>
    </dxf>
  </dxfs>
  <tableStyles count="0" defaultTableStyle="TableStyleMedium2" defaultPivotStyle="PivotStyleLight16"/>
  <colors>
    <mruColors>
      <color rgb="FFDDF7DD"/>
      <color rgb="FFC2E7FE"/>
      <color rgb="FF0121BF"/>
      <color rgb="FFF5FF97"/>
      <color rgb="FFF9FFC1"/>
      <color rgb="FFFFE8A7"/>
      <color rgb="FFFFB3B3"/>
      <color rgb="FFEBF6DE"/>
      <color rgb="FFFFF0C1"/>
      <color rgb="FFDAF0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__photo/lens$db/v33/Lens$db_v3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EFp"/>
      <sheetName val="EFz"/>
      <sheetName val="EF-S,-M"/>
      <sheetName val="STT"/>
      <sheetName val="CZ.V"/>
      <sheetName val="LNOP"/>
      <sheetName val="645"/>
      <sheetName val="X.rf"/>
      <sheetName val="all.p"/>
      <sheetName val="all.z"/>
      <sheetName val="compare"/>
    </sheetNames>
    <sheetDataSet>
      <sheetData sheetId="0">
        <row r="65">
          <cell r="A65">
            <v>0.76</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66"/>
  <sheetViews>
    <sheetView tabSelected="1" zoomScaleNormal="100" workbookViewId="0"/>
  </sheetViews>
  <sheetFormatPr defaultColWidth="9.140625" defaultRowHeight="12" customHeight="1"/>
  <cols>
    <col min="1" max="1" width="11.28515625" style="8" customWidth="1"/>
    <col min="2" max="2" width="80" style="2" customWidth="1"/>
    <col min="3" max="5" width="5.5703125" style="12" customWidth="1"/>
    <col min="6" max="6" width="10" style="2" customWidth="1"/>
    <col min="7" max="7" width="4" style="2" customWidth="1"/>
    <col min="8" max="16384" width="9.140625" style="2"/>
  </cols>
  <sheetData>
    <row r="1" spans="1:6" ht="12.6" customHeight="1">
      <c r="A1" s="1" t="s">
        <v>147</v>
      </c>
      <c r="B1" s="1"/>
    </row>
    <row r="2" spans="1:6" ht="12.6" customHeight="1">
      <c r="A2" s="2" t="s">
        <v>1201</v>
      </c>
    </row>
    <row r="3" spans="1:6" ht="12.6" customHeight="1">
      <c r="A3" s="2" t="s">
        <v>1080</v>
      </c>
      <c r="B3" s="2" t="s">
        <v>1167</v>
      </c>
      <c r="C3" s="70"/>
      <c r="D3" s="70"/>
      <c r="E3" s="70"/>
    </row>
    <row r="4" spans="1:6" ht="12.6" customHeight="1">
      <c r="A4" s="1"/>
      <c r="B4" s="1"/>
      <c r="C4" s="70"/>
      <c r="D4" s="70"/>
      <c r="E4" s="70"/>
    </row>
    <row r="5" spans="1:6" ht="83.25" customHeight="1">
      <c r="A5" s="219" t="s">
        <v>1180</v>
      </c>
      <c r="B5" s="219"/>
      <c r="C5" s="219"/>
      <c r="D5" s="219"/>
      <c r="E5" s="219"/>
    </row>
    <row r="6" spans="1:6" ht="12.6" customHeight="1">
      <c r="A6" s="2" t="s">
        <v>682</v>
      </c>
    </row>
    <row r="7" spans="1:6" ht="12.6" customHeight="1">
      <c r="A7" s="1"/>
    </row>
    <row r="8" spans="1:6" ht="12.6" customHeight="1">
      <c r="A8" s="1" t="s">
        <v>0</v>
      </c>
      <c r="B8" s="1"/>
      <c r="C8" s="70"/>
      <c r="D8" s="70"/>
      <c r="E8" s="70"/>
      <c r="F8" s="1"/>
    </row>
    <row r="9" spans="1:6" ht="12.6" customHeight="1">
      <c r="A9" s="1"/>
      <c r="B9" s="1"/>
      <c r="C9" s="70"/>
      <c r="D9" s="70"/>
      <c r="E9" s="70"/>
      <c r="F9" s="1"/>
    </row>
    <row r="10" spans="1:6" ht="12.6" customHeight="1">
      <c r="A10" s="5" t="s">
        <v>1190</v>
      </c>
      <c r="B10" s="4" t="s">
        <v>1191</v>
      </c>
      <c r="C10" s="70"/>
      <c r="D10" s="70"/>
      <c r="E10" s="70"/>
      <c r="F10" s="1"/>
    </row>
    <row r="11" spans="1:6" ht="12.6" customHeight="1">
      <c r="A11" s="5" t="s">
        <v>1079</v>
      </c>
      <c r="B11" s="4" t="s">
        <v>1192</v>
      </c>
    </row>
    <row r="12" spans="1:6" ht="12.6" customHeight="1">
      <c r="A12" s="5" t="s">
        <v>1</v>
      </c>
      <c r="B12" s="4" t="s">
        <v>1193</v>
      </c>
    </row>
    <row r="13" spans="1:6" ht="12.6" customHeight="1">
      <c r="A13" s="5" t="s">
        <v>2</v>
      </c>
      <c r="B13" s="4" t="s">
        <v>1203</v>
      </c>
    </row>
    <row r="14" spans="1:6" ht="12.6" customHeight="1">
      <c r="A14" s="5" t="s">
        <v>78</v>
      </c>
      <c r="B14" s="4" t="s">
        <v>1194</v>
      </c>
    </row>
    <row r="15" spans="1:6" ht="12.6" customHeight="1">
      <c r="A15" s="5" t="s">
        <v>910</v>
      </c>
      <c r="B15" s="4" t="s">
        <v>1195</v>
      </c>
    </row>
    <row r="16" spans="1:6" ht="12.6" customHeight="1">
      <c r="A16" s="5" t="s">
        <v>307</v>
      </c>
      <c r="B16" s="4" t="s">
        <v>1196</v>
      </c>
    </row>
    <row r="17" spans="1:7" ht="12.6" customHeight="1">
      <c r="A17" s="5" t="s">
        <v>308</v>
      </c>
      <c r="B17" s="4" t="s">
        <v>1197</v>
      </c>
    </row>
    <row r="18" spans="1:7" ht="12.6" customHeight="1">
      <c r="A18" s="5" t="s">
        <v>309</v>
      </c>
      <c r="B18" s="4" t="s">
        <v>1198</v>
      </c>
    </row>
    <row r="19" spans="1:7" ht="12.6" customHeight="1">
      <c r="A19" s="5" t="s">
        <v>116</v>
      </c>
      <c r="B19" s="4" t="s">
        <v>1199</v>
      </c>
    </row>
    <row r="20" spans="1:7" ht="12.6" customHeight="1">
      <c r="A20" s="5">
        <v>645</v>
      </c>
      <c r="B20" s="4" t="s">
        <v>1200</v>
      </c>
    </row>
    <row r="21" spans="1:7" ht="12.6" customHeight="1">
      <c r="A21" s="5" t="s">
        <v>445</v>
      </c>
      <c r="B21" s="4" t="s">
        <v>1202</v>
      </c>
    </row>
    <row r="22" spans="1:7" ht="12.6" customHeight="1">
      <c r="A22" s="5" t="s">
        <v>441</v>
      </c>
      <c r="B22" s="4" t="s">
        <v>816</v>
      </c>
    </row>
    <row r="23" spans="1:7" ht="12.6" customHeight="1">
      <c r="A23" s="2"/>
    </row>
    <row r="24" spans="1:7" ht="12.6" customHeight="1">
      <c r="A24" s="3" t="s">
        <v>3</v>
      </c>
      <c r="B24" s="4"/>
      <c r="C24" s="11"/>
      <c r="D24" s="11"/>
      <c r="E24" s="11"/>
      <c r="F24" s="4"/>
      <c r="G24" s="4"/>
    </row>
    <row r="25" spans="1:7" ht="12.6" customHeight="1">
      <c r="A25" s="3"/>
      <c r="B25" s="4"/>
      <c r="C25" s="11"/>
      <c r="D25" s="11"/>
      <c r="E25" s="11"/>
      <c r="F25" s="4"/>
      <c r="G25" s="4"/>
    </row>
    <row r="26" spans="1:7" ht="12.6" customHeight="1">
      <c r="A26" s="5" t="s">
        <v>4</v>
      </c>
      <c r="B26" s="4" t="s">
        <v>218</v>
      </c>
      <c r="C26" s="11"/>
      <c r="D26" s="11"/>
      <c r="E26" s="11"/>
      <c r="F26" s="4"/>
      <c r="G26" s="4"/>
    </row>
    <row r="27" spans="1:7" ht="12.6" customHeight="1">
      <c r="A27" s="5" t="s">
        <v>9</v>
      </c>
      <c r="B27" s="4" t="s">
        <v>10</v>
      </c>
      <c r="C27" s="11"/>
      <c r="D27" s="11"/>
      <c r="E27" s="11"/>
      <c r="F27" s="4"/>
      <c r="G27" s="4"/>
    </row>
    <row r="28" spans="1:7" ht="12.6" customHeight="1">
      <c r="A28" s="5" t="s">
        <v>636</v>
      </c>
      <c r="B28" s="4" t="s">
        <v>721</v>
      </c>
      <c r="C28" s="11"/>
      <c r="D28" s="11"/>
      <c r="E28" s="11"/>
      <c r="F28" s="4"/>
      <c r="G28" s="4"/>
    </row>
    <row r="29" spans="1:7" ht="12.6" customHeight="1">
      <c r="A29" s="3" t="s">
        <v>11</v>
      </c>
      <c r="B29" s="4" t="s">
        <v>217</v>
      </c>
      <c r="C29" s="11"/>
      <c r="D29" s="11"/>
      <c r="E29" s="11"/>
      <c r="F29" s="4"/>
      <c r="G29" s="4"/>
    </row>
    <row r="30" spans="1:7" ht="12.6" customHeight="1">
      <c r="A30" s="6" t="s">
        <v>12</v>
      </c>
      <c r="B30" s="4" t="s">
        <v>219</v>
      </c>
      <c r="C30" s="11"/>
      <c r="D30" s="11"/>
      <c r="E30" s="11"/>
      <c r="F30" s="4"/>
      <c r="G30" s="4"/>
    </row>
    <row r="31" spans="1:7" ht="12.6" customHeight="1">
      <c r="A31" s="7" t="s">
        <v>5</v>
      </c>
      <c r="B31" s="4" t="s">
        <v>220</v>
      </c>
      <c r="C31" s="11"/>
      <c r="D31" s="11"/>
      <c r="E31" s="11"/>
      <c r="F31" s="4"/>
      <c r="G31" s="4"/>
    </row>
    <row r="32" spans="1:7" ht="12.6" customHeight="1">
      <c r="A32" s="5" t="s">
        <v>298</v>
      </c>
      <c r="B32" s="4" t="s">
        <v>222</v>
      </c>
      <c r="C32" s="11"/>
      <c r="D32" s="11"/>
      <c r="E32" s="11"/>
      <c r="F32" s="4"/>
      <c r="G32" s="4"/>
    </row>
    <row r="33" spans="1:15" ht="12.6" customHeight="1">
      <c r="A33" s="5" t="s">
        <v>299</v>
      </c>
      <c r="B33" s="4" t="s">
        <v>221</v>
      </c>
      <c r="C33" s="11"/>
      <c r="D33" s="11"/>
      <c r="E33" s="11"/>
      <c r="F33" s="4"/>
      <c r="G33" s="4"/>
    </row>
    <row r="34" spans="1:15" ht="12.6" customHeight="1">
      <c r="A34" s="5" t="s">
        <v>300</v>
      </c>
      <c r="B34" s="4" t="s">
        <v>141</v>
      </c>
      <c r="C34" s="11"/>
      <c r="D34" s="11"/>
      <c r="E34" s="11"/>
      <c r="F34" s="4"/>
      <c r="G34" s="4"/>
    </row>
    <row r="35" spans="1:15" ht="12.6" customHeight="1">
      <c r="A35" s="5" t="s">
        <v>451</v>
      </c>
      <c r="B35" s="4" t="s">
        <v>6</v>
      </c>
      <c r="C35" s="11"/>
      <c r="D35" s="11"/>
      <c r="E35" s="11"/>
      <c r="F35" s="4"/>
      <c r="G35" s="4"/>
    </row>
    <row r="36" spans="1:15" ht="12.6" customHeight="1">
      <c r="A36" s="5" t="s">
        <v>7</v>
      </c>
      <c r="B36" s="4" t="s">
        <v>8</v>
      </c>
      <c r="C36" s="11"/>
      <c r="D36" s="11"/>
      <c r="E36" s="11"/>
      <c r="F36" s="4"/>
      <c r="G36" s="4"/>
    </row>
    <row r="37" spans="1:15" ht="12.6" customHeight="1">
      <c r="A37" s="5"/>
      <c r="B37" s="4"/>
      <c r="C37" s="11"/>
      <c r="D37" s="11"/>
      <c r="E37" s="11"/>
      <c r="F37" s="4"/>
      <c r="G37" s="4"/>
    </row>
    <row r="38" spans="1:15" ht="12.6" customHeight="1">
      <c r="A38" s="8" t="s">
        <v>204</v>
      </c>
      <c r="B38" s="4"/>
      <c r="C38" s="11"/>
      <c r="D38" s="11"/>
      <c r="E38" s="11"/>
      <c r="F38" s="4"/>
      <c r="G38" s="4"/>
    </row>
    <row r="39" spans="1:15" ht="12.6" customHeight="1">
      <c r="A39" s="8" t="s">
        <v>442</v>
      </c>
      <c r="B39" s="4"/>
      <c r="C39" s="11"/>
      <c r="D39" s="11"/>
      <c r="E39" s="11"/>
      <c r="F39" s="4"/>
      <c r="G39" s="4"/>
    </row>
    <row r="40" spans="1:15" ht="12.6" customHeight="1">
      <c r="B40" s="4"/>
      <c r="C40" s="11"/>
      <c r="D40" s="11"/>
      <c r="E40" s="11"/>
      <c r="F40" s="4"/>
      <c r="G40" s="4"/>
    </row>
    <row r="41" spans="1:15" ht="12.6" customHeight="1">
      <c r="A41" s="218"/>
      <c r="B41" s="217"/>
      <c r="C41" s="11"/>
      <c r="D41" s="11"/>
      <c r="E41" s="11"/>
      <c r="F41" s="4"/>
      <c r="G41" s="4"/>
      <c r="H41" s="4"/>
      <c r="I41" s="4"/>
      <c r="J41" s="4"/>
      <c r="K41" s="4"/>
      <c r="L41" s="4"/>
      <c r="M41" s="4"/>
      <c r="N41" s="4"/>
      <c r="O41" s="4"/>
    </row>
    <row r="42" spans="1:15" ht="12" customHeight="1">
      <c r="A42" s="3" t="s">
        <v>361</v>
      </c>
      <c r="B42" s="4"/>
      <c r="C42" s="11"/>
      <c r="D42" s="11"/>
      <c r="E42" s="11"/>
      <c r="F42" s="4"/>
      <c r="G42" s="4"/>
      <c r="H42" s="4"/>
      <c r="I42" s="4"/>
      <c r="J42" s="4"/>
      <c r="K42" s="4"/>
      <c r="L42" s="4"/>
      <c r="M42" s="4"/>
      <c r="N42" s="4"/>
      <c r="O42" s="4"/>
    </row>
    <row r="43" spans="1:15" ht="12" customHeight="1">
      <c r="A43" s="3"/>
      <c r="B43" s="4"/>
      <c r="C43" s="11"/>
      <c r="D43" s="11"/>
      <c r="E43" s="11"/>
      <c r="F43" s="4"/>
      <c r="G43" s="4"/>
      <c r="H43" s="4"/>
      <c r="I43" s="4"/>
      <c r="J43" s="4"/>
      <c r="K43" s="4"/>
      <c r="L43" s="4"/>
      <c r="M43" s="4"/>
      <c r="N43" s="4"/>
      <c r="O43" s="4"/>
    </row>
    <row r="44" spans="1:15" ht="12.6" customHeight="1">
      <c r="A44" s="8" t="s">
        <v>13</v>
      </c>
      <c r="B44" s="4"/>
      <c r="C44" s="11"/>
      <c r="D44" s="11"/>
      <c r="E44" s="11"/>
      <c r="F44" s="4"/>
      <c r="G44" s="4"/>
    </row>
    <row r="45" spans="1:15" ht="12.6" customHeight="1">
      <c r="A45" s="8" t="s">
        <v>180</v>
      </c>
      <c r="B45" s="4"/>
      <c r="C45" s="11"/>
      <c r="D45" s="11"/>
      <c r="E45" s="11"/>
      <c r="F45" s="4"/>
      <c r="G45" s="4"/>
    </row>
    <row r="46" spans="1:15" ht="12.6" customHeight="1">
      <c r="A46" s="8" t="s">
        <v>174</v>
      </c>
      <c r="B46" s="4"/>
      <c r="C46" s="11"/>
      <c r="D46" s="11"/>
      <c r="E46" s="11"/>
      <c r="F46" s="4"/>
      <c r="G46" s="4"/>
    </row>
    <row r="47" spans="1:15" ht="12.6" customHeight="1">
      <c r="A47" s="8" t="s">
        <v>175</v>
      </c>
      <c r="B47" s="4"/>
      <c r="C47" s="11"/>
      <c r="D47" s="11"/>
      <c r="E47" s="11"/>
      <c r="F47" s="4"/>
      <c r="G47" s="4"/>
    </row>
    <row r="48" spans="1:15" ht="12.6" customHeight="1">
      <c r="A48" s="8" t="s">
        <v>176</v>
      </c>
      <c r="B48" s="4"/>
      <c r="C48" s="11"/>
      <c r="D48" s="11"/>
      <c r="E48" s="11"/>
      <c r="F48" s="4"/>
      <c r="G48" s="4"/>
    </row>
    <row r="49" spans="1:7" ht="12.6" customHeight="1">
      <c r="A49" s="8" t="s">
        <v>465</v>
      </c>
      <c r="B49" s="4"/>
      <c r="C49" s="11"/>
      <c r="D49" s="11"/>
      <c r="E49" s="11"/>
      <c r="F49" s="4"/>
      <c r="G49" s="4"/>
    </row>
    <row r="50" spans="1:7" ht="12.6" customHeight="1">
      <c r="A50" s="8" t="s">
        <v>466</v>
      </c>
      <c r="B50" s="4"/>
      <c r="C50" s="11"/>
      <c r="D50" s="11"/>
      <c r="E50" s="11"/>
      <c r="F50" s="4"/>
      <c r="G50" s="4"/>
    </row>
    <row r="51" spans="1:7" ht="12" customHeight="1">
      <c r="A51" s="8" t="s">
        <v>178</v>
      </c>
      <c r="B51" s="4"/>
      <c r="C51" s="11"/>
      <c r="D51" s="11"/>
      <c r="E51" s="11"/>
      <c r="F51" s="4"/>
      <c r="G51" s="4"/>
    </row>
    <row r="52" spans="1:7" ht="12" customHeight="1">
      <c r="A52" s="8" t="s">
        <v>179</v>
      </c>
      <c r="B52" s="4"/>
      <c r="C52" s="11"/>
      <c r="D52" s="11"/>
      <c r="E52" s="11"/>
      <c r="F52" s="4"/>
      <c r="G52" s="4"/>
    </row>
    <row r="53" spans="1:7" ht="12" customHeight="1">
      <c r="A53" s="8" t="s">
        <v>1147</v>
      </c>
      <c r="B53" s="4"/>
      <c r="C53" s="11"/>
      <c r="D53" s="11"/>
      <c r="E53" s="11"/>
      <c r="F53" s="4"/>
      <c r="G53" s="4"/>
    </row>
    <row r="54" spans="1:7" ht="12" customHeight="1">
      <c r="A54" s="8" t="s">
        <v>890</v>
      </c>
      <c r="B54" s="4"/>
      <c r="C54" s="11"/>
      <c r="D54" s="11"/>
      <c r="E54" s="11"/>
      <c r="F54" s="4"/>
      <c r="G54" s="4"/>
    </row>
    <row r="55" spans="1:7" ht="12" customHeight="1">
      <c r="A55" s="8" t="s">
        <v>722</v>
      </c>
      <c r="B55" s="4"/>
      <c r="C55" s="11"/>
      <c r="D55" s="11"/>
      <c r="E55" s="11"/>
      <c r="F55" s="4"/>
      <c r="G55" s="4"/>
    </row>
    <row r="56" spans="1:7" ht="12" customHeight="1">
      <c r="A56" s="8" t="s">
        <v>183</v>
      </c>
      <c r="B56" s="4"/>
      <c r="C56" s="11"/>
      <c r="D56" s="11"/>
      <c r="E56" s="11"/>
      <c r="F56" s="4"/>
      <c r="G56" s="4"/>
    </row>
    <row r="57" spans="1:7" ht="12.6" customHeight="1">
      <c r="A57" s="8" t="s">
        <v>177</v>
      </c>
      <c r="B57" s="4"/>
      <c r="C57" s="11"/>
      <c r="D57" s="11"/>
      <c r="E57" s="11"/>
      <c r="F57" s="4"/>
      <c r="G57" s="4"/>
    </row>
    <row r="58" spans="1:7" ht="12.6" customHeight="1">
      <c r="A58" s="8" t="s">
        <v>181</v>
      </c>
      <c r="B58" s="4"/>
      <c r="C58" s="11"/>
      <c r="D58" s="11"/>
      <c r="E58" s="11"/>
      <c r="F58" s="4"/>
      <c r="G58" s="4"/>
    </row>
    <row r="59" spans="1:7" ht="12.6" customHeight="1">
      <c r="A59" s="8" t="s">
        <v>182</v>
      </c>
      <c r="B59" s="4"/>
      <c r="C59" s="11"/>
      <c r="D59" s="11"/>
      <c r="E59" s="11"/>
      <c r="F59" s="4"/>
      <c r="G59" s="4"/>
    </row>
    <row r="60" spans="1:7" ht="12" customHeight="1">
      <c r="A60" s="8" t="s">
        <v>362</v>
      </c>
      <c r="B60" s="4"/>
      <c r="C60" s="11"/>
      <c r="D60" s="11"/>
      <c r="E60" s="11"/>
      <c r="F60" s="4"/>
      <c r="G60" s="4"/>
    </row>
    <row r="61" spans="1:7" ht="12" customHeight="1">
      <c r="A61" s="8" t="s">
        <v>459</v>
      </c>
      <c r="B61" s="4"/>
      <c r="C61" s="11"/>
      <c r="D61" s="11"/>
      <c r="E61" s="11"/>
      <c r="F61" s="4"/>
      <c r="G61" s="4"/>
    </row>
    <row r="62" spans="1:7" ht="12" customHeight="1">
      <c r="A62" s="8" t="s">
        <v>606</v>
      </c>
      <c r="B62" s="4"/>
      <c r="C62" s="11"/>
      <c r="D62" s="11"/>
      <c r="E62" s="11"/>
      <c r="F62" s="4"/>
      <c r="G62" s="4"/>
    </row>
    <row r="63" spans="1:7" ht="12" customHeight="1">
      <c r="A63" s="8" t="s">
        <v>710</v>
      </c>
      <c r="B63" s="4"/>
      <c r="C63" s="11"/>
      <c r="D63" s="11"/>
      <c r="E63" s="11"/>
      <c r="F63" s="4"/>
      <c r="G63" s="4"/>
    </row>
    <row r="64" spans="1:7" ht="12" customHeight="1">
      <c r="A64" s="109" t="s">
        <v>965</v>
      </c>
      <c r="B64" s="110"/>
      <c r="C64" s="11"/>
      <c r="D64" s="11"/>
      <c r="E64" s="11"/>
      <c r="F64" s="4"/>
      <c r="G64" s="4"/>
    </row>
    <row r="65" spans="1:7" ht="12" customHeight="1">
      <c r="A65" s="109"/>
      <c r="B65" s="110"/>
      <c r="C65" s="11"/>
      <c r="D65" s="11"/>
      <c r="E65" s="11"/>
      <c r="F65" s="4"/>
      <c r="G65" s="4"/>
    </row>
    <row r="66" spans="1:7" ht="12" customHeight="1">
      <c r="A66" s="111">
        <v>0.76</v>
      </c>
      <c r="B66" s="108" t="s">
        <v>720</v>
      </c>
      <c r="C66" s="11"/>
    </row>
  </sheetData>
  <sheetProtection password="990B" sheet="1" objects="1" scenarios="1"/>
  <mergeCells count="1">
    <mergeCell ref="A5:E5"/>
  </mergeCells>
  <phoneticPr fontId="0" type="noConversion"/>
  <pageMargins left="0.3" right="0" top="0.5" bottom="0" header="0.59055118110236204" footer="0.511811023622047"/>
  <pageSetup orientation="landscape" r:id="rId1"/>
  <headerFooter alignWithMargins="0">
    <oddHeader>&amp;R&amp;9(&amp;P of &amp;N)</oddHeader>
  </headerFooter>
  <rowBreaks count="1" manualBreakCount="1">
    <brk id="3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U79"/>
  <sheetViews>
    <sheetView zoomScaleNormal="100" workbookViewId="0"/>
  </sheetViews>
  <sheetFormatPr defaultColWidth="9.140625" defaultRowHeight="12.6" customHeight="1"/>
  <cols>
    <col min="1" max="1" width="8.7109375" style="63" customWidth="1"/>
    <col min="2" max="2" width="22.140625" style="63" customWidth="1"/>
    <col min="3" max="3" width="6.28515625" style="20" customWidth="1"/>
    <col min="4" max="4" width="6.5703125" style="142" customWidth="1"/>
    <col min="5" max="5" width="6.28515625" style="20" customWidth="1"/>
    <col min="6" max="6" width="4.7109375" style="21" customWidth="1"/>
    <col min="7" max="7" width="4.7109375" style="34" customWidth="1"/>
    <col min="8" max="8" width="4.7109375" style="35" customWidth="1"/>
    <col min="9" max="11" width="4.7109375" style="20" customWidth="1"/>
    <col min="12" max="17" width="5.28515625" style="20" customWidth="1"/>
    <col min="18" max="18" width="7.140625" style="20" customWidth="1"/>
    <col min="19" max="20" width="5.28515625" style="20" customWidth="1"/>
    <col min="21" max="21" width="7.140625" style="20" customWidth="1"/>
    <col min="22" max="16384" width="9.140625" style="14"/>
  </cols>
  <sheetData>
    <row r="1" spans="1:21" s="26" customFormat="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R1" s="106" t="str">
        <f>i!B3</f>
        <v>.2018-09-01</v>
      </c>
      <c r="S1" s="9"/>
      <c r="T1" s="25" t="s">
        <v>14</v>
      </c>
      <c r="U1" s="9" t="s">
        <v>14</v>
      </c>
    </row>
    <row r="2" spans="1:21" ht="12.6" customHeight="1">
      <c r="A2" s="26" t="str">
        <f>i!A3</f>
        <v>v.34</v>
      </c>
      <c r="F2" s="25"/>
      <c r="G2" s="47"/>
      <c r="H2" s="76"/>
      <c r="I2" s="9"/>
      <c r="J2" s="46"/>
      <c r="K2" s="9"/>
      <c r="L2" s="9"/>
      <c r="M2" s="10"/>
      <c r="N2" s="36"/>
      <c r="O2" s="10"/>
      <c r="P2" s="36"/>
      <c r="Q2" s="10"/>
      <c r="R2" s="36"/>
      <c r="S2" s="36"/>
      <c r="T2" s="10"/>
      <c r="U2" s="36"/>
    </row>
    <row r="3" spans="1:21" s="24" customFormat="1" ht="12.6" customHeight="1">
      <c r="A3" s="26" t="s">
        <v>14</v>
      </c>
      <c r="B3" s="24" t="s">
        <v>14</v>
      </c>
      <c r="C3" s="37" t="s">
        <v>14</v>
      </c>
      <c r="D3" s="119" t="s">
        <v>14</v>
      </c>
      <c r="E3" s="37" t="s">
        <v>14</v>
      </c>
      <c r="F3" s="143" t="s">
        <v>14</v>
      </c>
      <c r="G3" s="39" t="s">
        <v>14</v>
      </c>
      <c r="H3" s="39" t="s">
        <v>14</v>
      </c>
      <c r="I3" s="39" t="s">
        <v>14</v>
      </c>
      <c r="J3" s="36" t="s">
        <v>14</v>
      </c>
      <c r="K3" s="39" t="s">
        <v>14</v>
      </c>
      <c r="L3" s="144" t="s">
        <v>14</v>
      </c>
      <c r="M3" s="43" t="s">
        <v>14</v>
      </c>
      <c r="N3" s="43" t="s">
        <v>15</v>
      </c>
      <c r="O3" s="43" t="s">
        <v>14</v>
      </c>
      <c r="P3" s="179" t="s">
        <v>14</v>
      </c>
      <c r="Q3" s="125"/>
      <c r="R3" s="50" t="s">
        <v>16</v>
      </c>
      <c r="S3" s="36"/>
      <c r="T3" s="43" t="s">
        <v>14</v>
      </c>
      <c r="U3" s="52" t="s">
        <v>14</v>
      </c>
    </row>
    <row r="4" spans="1:21" s="26" customFormat="1" ht="12.6" customHeight="1">
      <c r="A4" s="24"/>
      <c r="B4" s="24"/>
      <c r="C4" s="9" t="s">
        <v>4</v>
      </c>
      <c r="D4" s="10" t="s">
        <v>9</v>
      </c>
      <c r="E4" s="25" t="s">
        <v>636</v>
      </c>
      <c r="F4" s="21" t="s">
        <v>11</v>
      </c>
      <c r="G4" s="48" t="s">
        <v>264</v>
      </c>
      <c r="H4" s="76" t="s">
        <v>5</v>
      </c>
      <c r="I4" s="9" t="s">
        <v>298</v>
      </c>
      <c r="J4" s="9" t="s">
        <v>299</v>
      </c>
      <c r="K4" s="50" t="s">
        <v>300</v>
      </c>
      <c r="L4" s="51" t="s">
        <v>450</v>
      </c>
      <c r="M4" s="52"/>
      <c r="N4" s="53" t="s">
        <v>17</v>
      </c>
      <c r="O4" s="36"/>
      <c r="P4" s="56"/>
      <c r="Q4" s="43" t="s">
        <v>451</v>
      </c>
      <c r="R4" s="62"/>
      <c r="S4" s="121"/>
      <c r="T4" s="50" t="s">
        <v>7</v>
      </c>
      <c r="U4" s="50"/>
    </row>
    <row r="5" spans="1:21" s="26" customFormat="1" ht="12.6" customHeight="1">
      <c r="A5" s="57" t="s">
        <v>14</v>
      </c>
      <c r="B5" s="57" t="s">
        <v>14</v>
      </c>
      <c r="C5" s="36" t="s">
        <v>18</v>
      </c>
      <c r="D5" s="71" t="s">
        <v>14</v>
      </c>
      <c r="E5" s="36"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6" customFormat="1" ht="12.6" customHeight="1">
      <c r="A6" s="137" t="s">
        <v>517</v>
      </c>
      <c r="B6" s="130"/>
      <c r="C6" s="43"/>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ht="12.6" customHeight="1">
      <c r="A7" s="73" t="s">
        <v>32</v>
      </c>
      <c r="B7" s="73" t="s">
        <v>963</v>
      </c>
      <c r="C7" s="9">
        <v>35</v>
      </c>
      <c r="D7" s="10">
        <v>3.4</v>
      </c>
      <c r="E7" s="9">
        <f>1.6*C7</f>
        <v>56</v>
      </c>
      <c r="F7" s="64" t="s">
        <v>116</v>
      </c>
      <c r="G7" s="75">
        <v>0.3</v>
      </c>
      <c r="H7" s="76">
        <v>0.22600000000000001</v>
      </c>
      <c r="I7" s="9">
        <v>34.6</v>
      </c>
      <c r="J7" s="9">
        <v>63</v>
      </c>
      <c r="K7" s="50" t="s">
        <v>974</v>
      </c>
      <c r="L7" s="65">
        <f>AVERAGE(128.4,235,248)</f>
        <v>203.79999999999998</v>
      </c>
      <c r="M7" s="20" t="s">
        <v>1153</v>
      </c>
      <c r="N7" s="65">
        <f>AVERAGE(299,315)</f>
        <v>307</v>
      </c>
      <c r="O7" s="9" t="s">
        <v>1176</v>
      </c>
      <c r="P7" s="65">
        <v>275</v>
      </c>
      <c r="Q7" s="9" t="s">
        <v>1061</v>
      </c>
      <c r="R7" s="50" t="s">
        <v>400</v>
      </c>
      <c r="S7" s="65">
        <v>375</v>
      </c>
      <c r="T7" s="9" t="s">
        <v>1061</v>
      </c>
      <c r="U7" s="50" t="s">
        <v>400</v>
      </c>
    </row>
    <row r="8" spans="1:21" ht="12.4" customHeight="1">
      <c r="A8" s="73" t="s">
        <v>32</v>
      </c>
      <c r="B8" s="73" t="s">
        <v>871</v>
      </c>
      <c r="C8" s="9">
        <v>50</v>
      </c>
      <c r="D8" s="10">
        <v>1.8</v>
      </c>
      <c r="E8" s="9">
        <f t="shared" ref="E8:E12" si="0">1.6*C8</f>
        <v>80</v>
      </c>
      <c r="F8" s="64" t="s">
        <v>116</v>
      </c>
      <c r="G8" s="75">
        <v>0.45</v>
      </c>
      <c r="H8" s="76">
        <v>0.255</v>
      </c>
      <c r="I8" s="9">
        <v>37</v>
      </c>
      <c r="J8" s="9">
        <v>63</v>
      </c>
      <c r="K8" s="10" t="s">
        <v>974</v>
      </c>
      <c r="L8" s="65">
        <f>AVERAGE(400,454,367,434,360,384,335,326,324,300,449,425,398,417)</f>
        <v>383.78571428571428</v>
      </c>
      <c r="M8" s="50" t="s">
        <v>1171</v>
      </c>
      <c r="N8" s="9">
        <f>AVERAGE(525,525,582,569,456,555,569,449,500,499,500,571)</f>
        <v>525</v>
      </c>
      <c r="O8" s="10" t="s">
        <v>1171</v>
      </c>
      <c r="P8" s="65" t="s">
        <v>14</v>
      </c>
      <c r="Q8" s="10" t="s">
        <v>14</v>
      </c>
      <c r="R8" s="50" t="s">
        <v>14</v>
      </c>
      <c r="S8" s="65">
        <v>1200</v>
      </c>
      <c r="T8" s="10" t="s">
        <v>1061</v>
      </c>
      <c r="U8" s="50" t="s">
        <v>400</v>
      </c>
    </row>
    <row r="9" spans="1:21" ht="12.6" customHeight="1">
      <c r="A9" s="73" t="s">
        <v>32</v>
      </c>
      <c r="B9" s="73" t="s">
        <v>1098</v>
      </c>
      <c r="C9" s="9">
        <v>50</v>
      </c>
      <c r="D9" s="10">
        <v>2.8</v>
      </c>
      <c r="E9" s="9">
        <f t="shared" si="0"/>
        <v>80</v>
      </c>
      <c r="F9" s="64" t="s">
        <v>116</v>
      </c>
      <c r="G9" s="75" t="s">
        <v>14</v>
      </c>
      <c r="H9" s="76" t="s">
        <v>14</v>
      </c>
      <c r="I9" s="9" t="s">
        <v>14</v>
      </c>
      <c r="J9" s="9" t="s">
        <v>14</v>
      </c>
      <c r="K9" s="161" t="s">
        <v>14</v>
      </c>
      <c r="L9" s="65">
        <f>AVERAGE(69)</f>
        <v>69</v>
      </c>
      <c r="M9" s="161" t="s">
        <v>1153</v>
      </c>
      <c r="N9" s="65">
        <f>AVERAGE(100)</f>
        <v>100</v>
      </c>
      <c r="O9" s="161" t="s">
        <v>1110</v>
      </c>
      <c r="P9" s="9"/>
      <c r="Q9" s="9"/>
      <c r="R9" s="66"/>
      <c r="S9" s="79"/>
      <c r="T9" s="9"/>
      <c r="U9" s="66"/>
    </row>
    <row r="10" spans="1:21" ht="12.6" customHeight="1">
      <c r="A10" s="73" t="s">
        <v>32</v>
      </c>
      <c r="B10" s="73" t="s">
        <v>1084</v>
      </c>
      <c r="C10" s="9">
        <v>58</v>
      </c>
      <c r="D10" s="10">
        <v>2</v>
      </c>
      <c r="E10" s="9">
        <f t="shared" si="0"/>
        <v>92.800000000000011</v>
      </c>
      <c r="F10" s="64" t="s">
        <v>116</v>
      </c>
      <c r="G10" s="75" t="s">
        <v>14</v>
      </c>
      <c r="H10" s="76" t="s">
        <v>14</v>
      </c>
      <c r="I10" s="9" t="s">
        <v>14</v>
      </c>
      <c r="J10" s="9" t="s">
        <v>14</v>
      </c>
      <c r="K10" s="161" t="s">
        <v>14</v>
      </c>
      <c r="L10" s="65">
        <f>AVERAGE(112,129,105,118)</f>
        <v>116</v>
      </c>
      <c r="M10" s="161" t="s">
        <v>1153</v>
      </c>
      <c r="N10" s="65">
        <f>AVERAGE(209,171)</f>
        <v>190</v>
      </c>
      <c r="O10" s="161" t="s">
        <v>1118</v>
      </c>
      <c r="P10" s="9" t="s">
        <v>14</v>
      </c>
      <c r="Q10" s="9" t="s">
        <v>14</v>
      </c>
      <c r="R10" s="66" t="s">
        <v>14</v>
      </c>
      <c r="S10" s="79" t="s">
        <v>14</v>
      </c>
      <c r="T10" s="9" t="s">
        <v>14</v>
      </c>
      <c r="U10" s="66" t="s">
        <v>14</v>
      </c>
    </row>
    <row r="11" spans="1:21" ht="12.6" customHeight="1">
      <c r="A11" s="73" t="s">
        <v>32</v>
      </c>
      <c r="B11" s="73" t="s">
        <v>1085</v>
      </c>
      <c r="C11" s="9">
        <v>85</v>
      </c>
      <c r="D11" s="10">
        <v>2</v>
      </c>
      <c r="E11" s="9">
        <f t="shared" ref="E11" si="1">1.6*C11</f>
        <v>136</v>
      </c>
      <c r="F11" s="64" t="s">
        <v>116</v>
      </c>
      <c r="G11" s="75">
        <v>0.23</v>
      </c>
      <c r="H11" s="76">
        <v>0.8</v>
      </c>
      <c r="I11" s="9" t="s">
        <v>14</v>
      </c>
      <c r="J11" s="9" t="s">
        <v>14</v>
      </c>
      <c r="K11" s="161" t="s">
        <v>14</v>
      </c>
      <c r="L11" s="65">
        <f>AVERAGE(0)</f>
        <v>0</v>
      </c>
      <c r="M11" s="161" t="s">
        <v>14</v>
      </c>
      <c r="N11" s="65">
        <f>AVERAGE(0)</f>
        <v>0</v>
      </c>
      <c r="O11" s="161" t="s">
        <v>14</v>
      </c>
      <c r="P11" s="9" t="s">
        <v>14</v>
      </c>
      <c r="Q11" s="9" t="s">
        <v>14</v>
      </c>
      <c r="R11" s="66" t="s">
        <v>14</v>
      </c>
      <c r="S11" s="79" t="s">
        <v>14</v>
      </c>
      <c r="T11" s="9" t="s">
        <v>14</v>
      </c>
      <c r="U11" s="66" t="s">
        <v>14</v>
      </c>
    </row>
    <row r="12" spans="1:21" ht="12.6" customHeight="1">
      <c r="A12" s="67" t="s">
        <v>32</v>
      </c>
      <c r="B12" s="67" t="s">
        <v>1121</v>
      </c>
      <c r="C12" s="36">
        <v>85</v>
      </c>
      <c r="D12" s="71">
        <v>2.8</v>
      </c>
      <c r="E12" s="36">
        <f t="shared" si="0"/>
        <v>136</v>
      </c>
      <c r="F12" s="69" t="s">
        <v>116</v>
      </c>
      <c r="G12" s="59" t="s">
        <v>14</v>
      </c>
      <c r="H12" s="40" t="s">
        <v>14</v>
      </c>
      <c r="I12" s="36" t="s">
        <v>14</v>
      </c>
      <c r="J12" s="36" t="s">
        <v>14</v>
      </c>
      <c r="K12" s="36" t="s">
        <v>14</v>
      </c>
      <c r="L12" s="61">
        <f>AVERAGE(0)</f>
        <v>0</v>
      </c>
      <c r="M12" s="52" t="s">
        <v>14</v>
      </c>
      <c r="N12" s="61">
        <f>AVERAGE(442)</f>
        <v>442</v>
      </c>
      <c r="O12" s="52" t="s">
        <v>1118</v>
      </c>
      <c r="P12" s="36" t="s">
        <v>14</v>
      </c>
      <c r="Q12" s="36" t="s">
        <v>14</v>
      </c>
      <c r="R12" s="52" t="s">
        <v>14</v>
      </c>
      <c r="S12" s="61" t="s">
        <v>14</v>
      </c>
      <c r="T12" s="36" t="s">
        <v>14</v>
      </c>
      <c r="U12" s="52" t="s">
        <v>14</v>
      </c>
    </row>
    <row r="13" spans="1:21" s="26" customFormat="1" ht="12.6" customHeight="1">
      <c r="A13" s="137" t="s">
        <v>1086</v>
      </c>
      <c r="B13" s="130"/>
      <c r="C13" s="43"/>
      <c r="D13" s="131" t="s">
        <v>14</v>
      </c>
      <c r="E13" s="43" t="s">
        <v>14</v>
      </c>
      <c r="F13" s="135" t="s">
        <v>14</v>
      </c>
      <c r="G13" s="138" t="s">
        <v>14</v>
      </c>
      <c r="H13" s="134" t="s">
        <v>14</v>
      </c>
      <c r="I13" s="43" t="s">
        <v>14</v>
      </c>
      <c r="J13" s="43" t="s">
        <v>14</v>
      </c>
      <c r="K13" s="43" t="s">
        <v>14</v>
      </c>
      <c r="L13" s="43" t="s">
        <v>14</v>
      </c>
      <c r="M13" s="43" t="s">
        <v>14</v>
      </c>
      <c r="N13" s="43" t="s">
        <v>14</v>
      </c>
      <c r="O13" s="43" t="s">
        <v>14</v>
      </c>
      <c r="P13" s="43" t="s">
        <v>14</v>
      </c>
      <c r="Q13" s="43" t="s">
        <v>14</v>
      </c>
      <c r="R13" s="43" t="s">
        <v>14</v>
      </c>
      <c r="S13" s="43" t="s">
        <v>14</v>
      </c>
      <c r="T13" s="43" t="s">
        <v>14</v>
      </c>
      <c r="U13" s="43" t="s">
        <v>14</v>
      </c>
    </row>
    <row r="14" spans="1:21" ht="14.25" customHeight="1">
      <c r="A14" s="73" t="s">
        <v>223</v>
      </c>
      <c r="B14" s="73" t="s">
        <v>530</v>
      </c>
      <c r="C14" s="9">
        <v>20</v>
      </c>
      <c r="D14" s="10">
        <v>2.8</v>
      </c>
      <c r="E14" s="9">
        <f t="shared" ref="E14:E30" si="2">1.6*C14</f>
        <v>32</v>
      </c>
      <c r="F14" s="64" t="s">
        <v>116</v>
      </c>
      <c r="G14" s="75">
        <v>0.19</v>
      </c>
      <c r="H14" s="76">
        <v>0.31</v>
      </c>
      <c r="I14" s="9">
        <v>47</v>
      </c>
      <c r="J14" s="9">
        <v>74</v>
      </c>
      <c r="K14" s="78">
        <v>67</v>
      </c>
      <c r="L14" s="9">
        <f>AVERAGE(337,350,350,271,360,298,293,310,338,370,335,382,369)</f>
        <v>335.61538461538464</v>
      </c>
      <c r="M14" s="25" t="s">
        <v>1171</v>
      </c>
      <c r="N14" s="65">
        <f>AVERAGE(490,495,495,410,400,420,451,500,421,424,500)</f>
        <v>455.09090909090907</v>
      </c>
      <c r="O14" s="161" t="s">
        <v>1153</v>
      </c>
      <c r="P14" s="9">
        <v>367</v>
      </c>
      <c r="Q14" s="9" t="s">
        <v>1153</v>
      </c>
      <c r="R14" s="66" t="s">
        <v>28</v>
      </c>
      <c r="S14" s="79" t="s">
        <v>14</v>
      </c>
      <c r="T14" s="9" t="s">
        <v>14</v>
      </c>
      <c r="U14" s="66" t="s">
        <v>14</v>
      </c>
    </row>
    <row r="15" spans="1:21" ht="12.6" customHeight="1">
      <c r="A15" s="73" t="s">
        <v>223</v>
      </c>
      <c r="B15" s="73" t="s">
        <v>531</v>
      </c>
      <c r="C15" s="9">
        <v>20</v>
      </c>
      <c r="D15" s="10">
        <v>4</v>
      </c>
      <c r="E15" s="9">
        <f t="shared" si="2"/>
        <v>32</v>
      </c>
      <c r="F15" s="64" t="s">
        <v>116</v>
      </c>
      <c r="G15" s="75">
        <v>0.15</v>
      </c>
      <c r="H15" s="76">
        <v>0.33700000000000002</v>
      </c>
      <c r="I15" s="9">
        <v>49</v>
      </c>
      <c r="J15" s="9">
        <v>83</v>
      </c>
      <c r="K15" s="50">
        <v>77</v>
      </c>
      <c r="L15" s="65">
        <f>AVERAGE(265,277,225,225,250,210,235,290,280)</f>
        <v>250.77777777777777</v>
      </c>
      <c r="M15" s="9" t="s">
        <v>1171</v>
      </c>
      <c r="N15" s="65">
        <f>AVERAGE(359,315,429,397,350,400,355,313,338,345,370,363)</f>
        <v>361.16666666666669</v>
      </c>
      <c r="O15" s="9" t="s">
        <v>1061</v>
      </c>
      <c r="P15" s="65" t="s">
        <v>14</v>
      </c>
      <c r="Q15" s="9" t="s">
        <v>14</v>
      </c>
      <c r="R15" s="50" t="s">
        <v>14</v>
      </c>
      <c r="S15" s="65" t="s">
        <v>14</v>
      </c>
      <c r="T15" s="9" t="s">
        <v>14</v>
      </c>
      <c r="U15" s="50" t="s">
        <v>14</v>
      </c>
    </row>
    <row r="16" spans="1:21" ht="12.6" customHeight="1">
      <c r="A16" s="73" t="s">
        <v>223</v>
      </c>
      <c r="B16" s="73" t="s">
        <v>829</v>
      </c>
      <c r="C16" s="9">
        <v>28</v>
      </c>
      <c r="D16" s="10">
        <v>2.8</v>
      </c>
      <c r="E16" s="9">
        <f t="shared" si="2"/>
        <v>44.800000000000004</v>
      </c>
      <c r="F16" s="64" t="s">
        <v>116</v>
      </c>
      <c r="G16" s="75">
        <v>0.3</v>
      </c>
      <c r="H16" s="76" t="s">
        <v>14</v>
      </c>
      <c r="I16" s="9">
        <v>60</v>
      </c>
      <c r="J16" s="154" t="s">
        <v>14</v>
      </c>
      <c r="K16" s="50">
        <v>49</v>
      </c>
      <c r="L16" s="65">
        <f>AVERAGE(59,64,125,82,100)</f>
        <v>86</v>
      </c>
      <c r="M16" s="20" t="s">
        <v>1059</v>
      </c>
      <c r="N16" s="65">
        <f>AVERAGE(175,188,133)</f>
        <v>165.33333333333334</v>
      </c>
      <c r="O16" s="9" t="s">
        <v>639</v>
      </c>
      <c r="P16" s="65">
        <f>85*CA.US</f>
        <v>64.599999999999994</v>
      </c>
      <c r="Q16" s="9" t="s">
        <v>874</v>
      </c>
      <c r="R16" s="50" t="s">
        <v>33</v>
      </c>
      <c r="S16" s="65" t="s">
        <v>14</v>
      </c>
      <c r="T16" s="9" t="s">
        <v>14</v>
      </c>
      <c r="U16" s="50" t="s">
        <v>14</v>
      </c>
    </row>
    <row r="17" spans="1:21" ht="12.4" customHeight="1">
      <c r="A17" s="73" t="s">
        <v>223</v>
      </c>
      <c r="B17" s="73" t="s">
        <v>532</v>
      </c>
      <c r="C17" s="9">
        <v>35</v>
      </c>
      <c r="D17" s="10">
        <v>2.4</v>
      </c>
      <c r="E17" s="9">
        <f t="shared" si="2"/>
        <v>56</v>
      </c>
      <c r="F17" s="64" t="s">
        <v>116</v>
      </c>
      <c r="G17" s="75">
        <v>0.2</v>
      </c>
      <c r="H17" s="76">
        <v>0.25</v>
      </c>
      <c r="I17" s="9">
        <v>52</v>
      </c>
      <c r="J17" s="9">
        <v>64</v>
      </c>
      <c r="K17" s="50">
        <v>49</v>
      </c>
      <c r="L17" s="65">
        <f>AVERAGE(161,153,148,185,175,195,179,186,174,167,178,169,195)</f>
        <v>174.23076923076923</v>
      </c>
      <c r="M17" s="50" t="s">
        <v>1171</v>
      </c>
      <c r="N17" s="9">
        <f>AVERAGE(249,251,250,250,289,265,245,249,255,255,235,243,255)</f>
        <v>253.15384615384616</v>
      </c>
      <c r="O17" s="10" t="s">
        <v>1153</v>
      </c>
      <c r="P17" s="65" t="s">
        <v>14</v>
      </c>
      <c r="Q17" s="10" t="s">
        <v>14</v>
      </c>
      <c r="R17" s="50" t="s">
        <v>14</v>
      </c>
      <c r="S17" s="65" t="s">
        <v>14</v>
      </c>
      <c r="T17" s="10" t="s">
        <v>14</v>
      </c>
      <c r="U17" s="50" t="s">
        <v>14</v>
      </c>
    </row>
    <row r="18" spans="1:21" ht="12.6" customHeight="1">
      <c r="A18" s="67" t="s">
        <v>223</v>
      </c>
      <c r="B18" s="67" t="s">
        <v>1124</v>
      </c>
      <c r="C18" s="36">
        <v>35</v>
      </c>
      <c r="D18" s="71">
        <v>2.8</v>
      </c>
      <c r="E18" s="36">
        <f t="shared" si="2"/>
        <v>56</v>
      </c>
      <c r="F18" s="69" t="s">
        <v>116</v>
      </c>
      <c r="G18" s="59">
        <v>0.18</v>
      </c>
      <c r="H18" s="40" t="s">
        <v>14</v>
      </c>
      <c r="I18" s="36" t="s">
        <v>14</v>
      </c>
      <c r="J18" s="36" t="s">
        <v>14</v>
      </c>
      <c r="K18" s="52">
        <v>49</v>
      </c>
      <c r="L18" s="61">
        <f>AVERAGE(138,170)</f>
        <v>154</v>
      </c>
      <c r="M18" s="36" t="s">
        <v>1110</v>
      </c>
      <c r="N18" s="61">
        <f>AVERAGE(240)</f>
        <v>240</v>
      </c>
      <c r="O18" s="36" t="s">
        <v>1110</v>
      </c>
      <c r="P18" s="61" t="s">
        <v>14</v>
      </c>
      <c r="Q18" s="36" t="s">
        <v>14</v>
      </c>
      <c r="R18" s="52" t="s">
        <v>14</v>
      </c>
      <c r="S18" s="61" t="s">
        <v>14</v>
      </c>
      <c r="T18" s="36" t="s">
        <v>14</v>
      </c>
      <c r="U18" s="52" t="s">
        <v>14</v>
      </c>
    </row>
    <row r="19" spans="1:21" ht="12.6" customHeight="1">
      <c r="A19" s="73" t="s">
        <v>223</v>
      </c>
      <c r="B19" s="73" t="s">
        <v>437</v>
      </c>
      <c r="C19" s="9">
        <v>50</v>
      </c>
      <c r="D19" s="10">
        <v>1.4</v>
      </c>
      <c r="E19" s="9">
        <f>1.6*C19</f>
        <v>80</v>
      </c>
      <c r="F19" s="64" t="s">
        <v>116</v>
      </c>
      <c r="G19" s="75">
        <v>0.35</v>
      </c>
      <c r="H19" s="76">
        <v>0.22500000000000001</v>
      </c>
      <c r="I19" s="9" t="s">
        <v>14</v>
      </c>
      <c r="J19" s="9" t="s">
        <v>14</v>
      </c>
      <c r="K19" s="50">
        <v>49</v>
      </c>
      <c r="L19" s="65">
        <f>AVERAGE(240,249)</f>
        <v>244.5</v>
      </c>
      <c r="M19" s="20" t="s">
        <v>1061</v>
      </c>
      <c r="N19" s="65">
        <f>AVERAGE(390,418)</f>
        <v>404</v>
      </c>
      <c r="O19" s="9" t="s">
        <v>619</v>
      </c>
      <c r="P19" s="65" t="s">
        <v>14</v>
      </c>
      <c r="Q19" s="9" t="s">
        <v>14</v>
      </c>
      <c r="R19" s="50" t="s">
        <v>14</v>
      </c>
      <c r="S19" s="65" t="s">
        <v>14</v>
      </c>
      <c r="T19" s="9" t="s">
        <v>14</v>
      </c>
      <c r="U19" s="50" t="s">
        <v>14</v>
      </c>
    </row>
    <row r="20" spans="1:21" ht="12.4" customHeight="1">
      <c r="A20" s="73" t="s">
        <v>223</v>
      </c>
      <c r="B20" s="73" t="s">
        <v>401</v>
      </c>
      <c r="C20" s="9">
        <v>50</v>
      </c>
      <c r="D20" s="10">
        <v>1.8</v>
      </c>
      <c r="E20" s="9">
        <f t="shared" si="2"/>
        <v>80</v>
      </c>
      <c r="F20" s="64" t="s">
        <v>116</v>
      </c>
      <c r="G20" s="75">
        <v>0.33</v>
      </c>
      <c r="H20" s="76">
        <v>0.19500000000000001</v>
      </c>
      <c r="I20" s="9">
        <v>39</v>
      </c>
      <c r="J20" s="9">
        <v>84</v>
      </c>
      <c r="K20" s="50">
        <v>49</v>
      </c>
      <c r="L20" s="65">
        <f>AVERAGE(79,80,63,86,123,94,120,90)</f>
        <v>91.875</v>
      </c>
      <c r="M20" s="50" t="s">
        <v>1171</v>
      </c>
      <c r="N20" s="9">
        <f>AVERAGE(169,140,147,140,190,159,149,131,160,200,175,175)</f>
        <v>161.25</v>
      </c>
      <c r="O20" s="10" t="s">
        <v>1171</v>
      </c>
      <c r="P20" s="65">
        <v>100</v>
      </c>
      <c r="Q20" s="10" t="s">
        <v>1100</v>
      </c>
      <c r="R20" s="50" t="s">
        <v>26</v>
      </c>
      <c r="S20" s="65" t="s">
        <v>14</v>
      </c>
      <c r="T20" s="10" t="s">
        <v>14</v>
      </c>
      <c r="U20" s="50" t="s">
        <v>14</v>
      </c>
    </row>
    <row r="21" spans="1:21" ht="12.4" customHeight="1">
      <c r="A21" s="73" t="s">
        <v>223</v>
      </c>
      <c r="B21" s="73" t="s">
        <v>1008</v>
      </c>
      <c r="C21" s="9">
        <v>50</v>
      </c>
      <c r="D21" s="10">
        <v>2.8</v>
      </c>
      <c r="E21" s="9">
        <f t="shared" si="2"/>
        <v>80</v>
      </c>
      <c r="F21" s="64" t="s">
        <v>116</v>
      </c>
      <c r="G21" s="75">
        <v>0.35</v>
      </c>
      <c r="H21" s="76">
        <v>0.17</v>
      </c>
      <c r="I21" s="9">
        <v>36.1</v>
      </c>
      <c r="J21" s="9">
        <v>65.7</v>
      </c>
      <c r="K21" s="50">
        <v>49</v>
      </c>
      <c r="L21" s="65">
        <f>AVERAGE(32,26,40,48,33,45,30,49)</f>
        <v>37.875</v>
      </c>
      <c r="M21" s="50" t="s">
        <v>1171</v>
      </c>
      <c r="N21" s="9">
        <f>AVERAGE(76,78,76,90)</f>
        <v>80</v>
      </c>
      <c r="O21" s="10" t="s">
        <v>1153</v>
      </c>
      <c r="P21" s="65">
        <v>70</v>
      </c>
      <c r="Q21" s="10" t="s">
        <v>1061</v>
      </c>
      <c r="R21" s="50" t="s">
        <v>26</v>
      </c>
      <c r="S21" s="65" t="s">
        <v>14</v>
      </c>
      <c r="T21" s="10" t="s">
        <v>14</v>
      </c>
      <c r="U21" s="50" t="s">
        <v>14</v>
      </c>
    </row>
    <row r="22" spans="1:21" ht="12.6" customHeight="1">
      <c r="A22" s="73" t="s">
        <v>223</v>
      </c>
      <c r="B22" s="73" t="s">
        <v>1006</v>
      </c>
      <c r="C22" s="9">
        <v>55</v>
      </c>
      <c r="D22" s="10">
        <v>1.4</v>
      </c>
      <c r="E22" s="9">
        <f>1.6*C22</f>
        <v>88</v>
      </c>
      <c r="F22" s="64" t="s">
        <v>116</v>
      </c>
      <c r="G22" s="75">
        <v>0.39</v>
      </c>
      <c r="H22" s="76">
        <v>0.4</v>
      </c>
      <c r="I22" s="9" t="s">
        <v>14</v>
      </c>
      <c r="J22" s="9" t="s">
        <v>14</v>
      </c>
      <c r="K22" s="50" t="s">
        <v>14</v>
      </c>
      <c r="L22" s="65">
        <f>AVERAGE(993,1150,1250)</f>
        <v>1131</v>
      </c>
      <c r="M22" s="20" t="s">
        <v>1091</v>
      </c>
      <c r="N22" s="65">
        <f>AVERAGE(1850,1335,1499)</f>
        <v>1561.3333333333333</v>
      </c>
      <c r="O22" s="9" t="s">
        <v>1183</v>
      </c>
      <c r="P22" s="65" t="s">
        <v>14</v>
      </c>
      <c r="Q22" s="9" t="s">
        <v>14</v>
      </c>
      <c r="R22" s="50" t="s">
        <v>14</v>
      </c>
      <c r="S22" s="65" t="s">
        <v>14</v>
      </c>
      <c r="T22" s="9" t="s">
        <v>14</v>
      </c>
      <c r="U22" s="50" t="s">
        <v>14</v>
      </c>
    </row>
    <row r="23" spans="1:21" ht="12.6" customHeight="1">
      <c r="A23" s="67" t="s">
        <v>223</v>
      </c>
      <c r="B23" s="67" t="s">
        <v>1007</v>
      </c>
      <c r="C23" s="36">
        <v>58</v>
      </c>
      <c r="D23" s="71">
        <v>2</v>
      </c>
      <c r="E23" s="36">
        <f>1.6*C23</f>
        <v>92.800000000000011</v>
      </c>
      <c r="F23" s="69" t="s">
        <v>116</v>
      </c>
      <c r="G23" s="59">
        <v>0.5</v>
      </c>
      <c r="H23" s="40" t="s">
        <v>14</v>
      </c>
      <c r="I23" s="36" t="s">
        <v>14</v>
      </c>
      <c r="J23" s="36" t="s">
        <v>14</v>
      </c>
      <c r="K23" s="52">
        <v>49</v>
      </c>
      <c r="L23" s="61">
        <f>AVERAGE(150,128,190,123)</f>
        <v>147.75</v>
      </c>
      <c r="M23" s="36" t="s">
        <v>1153</v>
      </c>
      <c r="N23" s="61">
        <f>AVERAGE(299,299,250)</f>
        <v>282.66666666666669</v>
      </c>
      <c r="O23" s="36" t="s">
        <v>1153</v>
      </c>
      <c r="P23" s="61">
        <v>145</v>
      </c>
      <c r="Q23" s="36" t="s">
        <v>1153</v>
      </c>
      <c r="R23" s="52" t="s">
        <v>26</v>
      </c>
      <c r="S23" s="61" t="s">
        <v>14</v>
      </c>
      <c r="T23" s="36" t="s">
        <v>14</v>
      </c>
      <c r="U23" s="52" t="s">
        <v>14</v>
      </c>
    </row>
    <row r="24" spans="1:21" ht="12.6" customHeight="1">
      <c r="A24" s="73" t="s">
        <v>223</v>
      </c>
      <c r="B24" s="73" t="s">
        <v>1096</v>
      </c>
      <c r="C24" s="9">
        <v>75</v>
      </c>
      <c r="D24" s="10">
        <v>1.5</v>
      </c>
      <c r="E24" s="9">
        <f t="shared" si="2"/>
        <v>120</v>
      </c>
      <c r="F24" s="64" t="s">
        <v>116</v>
      </c>
      <c r="G24" s="75">
        <v>0.82</v>
      </c>
      <c r="H24" s="76">
        <v>0.5</v>
      </c>
      <c r="I24" s="9">
        <v>76</v>
      </c>
      <c r="J24" s="9" t="s">
        <v>14</v>
      </c>
      <c r="K24" s="50">
        <v>58</v>
      </c>
      <c r="L24" s="65">
        <f>AVERAGE(877,910,999,998,933,670,871,860,865,865,885,815)</f>
        <v>879</v>
      </c>
      <c r="M24" s="50" t="s">
        <v>1153</v>
      </c>
      <c r="N24" s="65">
        <f>AVERAGE(1750,1649,1449,1450)</f>
        <v>1574.5</v>
      </c>
      <c r="O24" s="9" t="s">
        <v>1171</v>
      </c>
      <c r="P24" s="65" t="s">
        <v>14</v>
      </c>
      <c r="Q24" s="9" t="s">
        <v>14</v>
      </c>
      <c r="R24" s="50" t="s">
        <v>14</v>
      </c>
      <c r="S24" s="65" t="s">
        <v>14</v>
      </c>
      <c r="T24" s="9" t="s">
        <v>14</v>
      </c>
      <c r="U24" s="50" t="s">
        <v>14</v>
      </c>
    </row>
    <row r="25" spans="1:21" ht="12.4" customHeight="1">
      <c r="A25" s="73" t="s">
        <v>223</v>
      </c>
      <c r="B25" s="73" t="s">
        <v>367</v>
      </c>
      <c r="C25" s="9">
        <v>80</v>
      </c>
      <c r="D25" s="10">
        <v>1.8</v>
      </c>
      <c r="E25" s="9">
        <f t="shared" si="2"/>
        <v>128</v>
      </c>
      <c r="F25" s="64" t="s">
        <v>116</v>
      </c>
      <c r="G25" s="75">
        <v>0.35</v>
      </c>
      <c r="H25" s="76">
        <v>0.308</v>
      </c>
      <c r="I25" s="9">
        <v>55</v>
      </c>
      <c r="J25" s="9">
        <v>60</v>
      </c>
      <c r="K25" s="50">
        <v>58</v>
      </c>
      <c r="L25" s="65">
        <f>AVERAGE(490,495,400,400,400,381)</f>
        <v>427.66666666666669</v>
      </c>
      <c r="M25" s="50" t="s">
        <v>1153</v>
      </c>
      <c r="N25" s="9">
        <f>AVERAGE(670,640,600,600,640,600,650,600,645)</f>
        <v>627.22222222222217</v>
      </c>
      <c r="O25" s="10" t="s">
        <v>1153</v>
      </c>
      <c r="P25" s="65" t="s">
        <v>14</v>
      </c>
      <c r="Q25" s="10" t="s">
        <v>14</v>
      </c>
      <c r="R25" s="50" t="s">
        <v>14</v>
      </c>
      <c r="S25" s="65">
        <v>525</v>
      </c>
      <c r="T25" s="10" t="s">
        <v>918</v>
      </c>
      <c r="U25" s="50" t="s">
        <v>26</v>
      </c>
    </row>
    <row r="26" spans="1:21" ht="12.4" customHeight="1">
      <c r="A26" s="67" t="s">
        <v>223</v>
      </c>
      <c r="B26" s="67" t="s">
        <v>872</v>
      </c>
      <c r="C26" s="36">
        <v>80</v>
      </c>
      <c r="D26" s="71">
        <v>2.8</v>
      </c>
      <c r="E26" s="36">
        <f t="shared" si="2"/>
        <v>128</v>
      </c>
      <c r="F26" s="69" t="s">
        <v>116</v>
      </c>
      <c r="G26" s="59">
        <v>0.8</v>
      </c>
      <c r="H26" s="40">
        <v>0.32</v>
      </c>
      <c r="I26" s="36">
        <v>63</v>
      </c>
      <c r="J26" s="36">
        <v>65</v>
      </c>
      <c r="K26" s="71">
        <v>58</v>
      </c>
      <c r="L26" s="61">
        <f>AVERAGE(211,200)</f>
        <v>205.5</v>
      </c>
      <c r="M26" s="52" t="s">
        <v>817</v>
      </c>
      <c r="N26" s="36">
        <f>AVERAGE(300,378,391)</f>
        <v>356.33333333333331</v>
      </c>
      <c r="O26" s="71" t="s">
        <v>817</v>
      </c>
      <c r="P26" s="61" t="s">
        <v>14</v>
      </c>
      <c r="Q26" s="71" t="s">
        <v>14</v>
      </c>
      <c r="R26" s="52" t="s">
        <v>14</v>
      </c>
      <c r="S26" s="61" t="s">
        <v>14</v>
      </c>
      <c r="T26" s="71" t="s">
        <v>14</v>
      </c>
      <c r="U26" s="52" t="s">
        <v>14</v>
      </c>
    </row>
    <row r="27" spans="1:21" ht="12.6" customHeight="1">
      <c r="A27" s="73" t="s">
        <v>223</v>
      </c>
      <c r="B27" s="73" t="s">
        <v>529</v>
      </c>
      <c r="C27" s="9">
        <v>135</v>
      </c>
      <c r="D27" s="10">
        <v>3.5</v>
      </c>
      <c r="E27" s="9">
        <f t="shared" si="2"/>
        <v>216</v>
      </c>
      <c r="F27" s="64" t="s">
        <v>116</v>
      </c>
      <c r="G27" s="75">
        <v>1</v>
      </c>
      <c r="H27" s="76">
        <v>0.375</v>
      </c>
      <c r="I27" s="9">
        <v>82</v>
      </c>
      <c r="J27" s="9" t="s">
        <v>14</v>
      </c>
      <c r="K27" s="50">
        <v>49</v>
      </c>
      <c r="L27" s="9">
        <f>AVERAGE(80,59,84,96,125,100,109,120,120,105)</f>
        <v>99.8</v>
      </c>
      <c r="M27" s="9" t="s">
        <v>1171</v>
      </c>
      <c r="N27" s="65">
        <f>AVERAGE(160,179,169,169,158,155,195,190,199,239,219,195,153,169)</f>
        <v>182.07142857142858</v>
      </c>
      <c r="O27" s="9" t="s">
        <v>1153</v>
      </c>
      <c r="P27" s="65">
        <v>75</v>
      </c>
      <c r="Q27" s="9" t="s">
        <v>708</v>
      </c>
      <c r="R27" s="50" t="s">
        <v>26</v>
      </c>
      <c r="S27" s="65" t="s">
        <v>14</v>
      </c>
      <c r="T27" s="9" t="s">
        <v>14</v>
      </c>
      <c r="U27" s="50" t="s">
        <v>14</v>
      </c>
    </row>
    <row r="28" spans="1:21" ht="12.6" customHeight="1">
      <c r="A28" s="73" t="s">
        <v>223</v>
      </c>
      <c r="B28" s="73" t="s">
        <v>534</v>
      </c>
      <c r="C28" s="9">
        <v>180</v>
      </c>
      <c r="D28" s="10">
        <v>2.8</v>
      </c>
      <c r="E28" s="9">
        <f t="shared" si="2"/>
        <v>288</v>
      </c>
      <c r="F28" s="64" t="s">
        <v>116</v>
      </c>
      <c r="G28" s="75">
        <v>2.2000000000000002</v>
      </c>
      <c r="H28" s="76">
        <v>1.1000000000000001</v>
      </c>
      <c r="I28" s="9">
        <v>146</v>
      </c>
      <c r="J28" s="9">
        <v>100</v>
      </c>
      <c r="K28" s="50">
        <v>86</v>
      </c>
      <c r="L28" s="9">
        <f>AVERAGE(184,180,204,200,259,225,125,260,200,250,222,245)</f>
        <v>212.83333333333334</v>
      </c>
      <c r="M28" s="9" t="s">
        <v>1110</v>
      </c>
      <c r="N28" s="65">
        <f>AVERAGE(270,310,355,316,356,300,310,288,277)</f>
        <v>309.11111111111109</v>
      </c>
      <c r="O28" s="9" t="s">
        <v>1100</v>
      </c>
      <c r="P28" s="65">
        <v>425</v>
      </c>
      <c r="Q28" s="9" t="s">
        <v>918</v>
      </c>
      <c r="R28" s="50" t="s">
        <v>26</v>
      </c>
      <c r="S28" s="65">
        <v>425</v>
      </c>
      <c r="T28" s="9" t="s">
        <v>925</v>
      </c>
      <c r="U28" s="50" t="s">
        <v>26</v>
      </c>
    </row>
    <row r="29" spans="1:21" ht="12.6" customHeight="1">
      <c r="A29" s="73" t="s">
        <v>223</v>
      </c>
      <c r="B29" s="73" t="s">
        <v>533</v>
      </c>
      <c r="C29" s="9">
        <v>200</v>
      </c>
      <c r="D29" s="10">
        <v>2.8</v>
      </c>
      <c r="E29" s="9">
        <f>1.6*C29</f>
        <v>320</v>
      </c>
      <c r="F29" s="64" t="s">
        <v>116</v>
      </c>
      <c r="G29" s="75">
        <v>2.2000000000000002</v>
      </c>
      <c r="H29" s="76">
        <v>1.2</v>
      </c>
      <c r="I29" s="9">
        <v>146</v>
      </c>
      <c r="J29" s="9" t="s">
        <v>14</v>
      </c>
      <c r="K29" s="50">
        <v>77</v>
      </c>
      <c r="L29" s="9">
        <f>AVERAGE(225,265,133,250,210,288,250,260,203)</f>
        <v>231.55555555555554</v>
      </c>
      <c r="M29" s="9" t="s">
        <v>1153</v>
      </c>
      <c r="N29" s="65">
        <f>AVERAGE(325,399,379,345,419,489,409,399,320,328)</f>
        <v>381.2</v>
      </c>
      <c r="O29" s="9" t="s">
        <v>1153</v>
      </c>
      <c r="P29" s="65">
        <v>350</v>
      </c>
      <c r="Q29" s="9" t="s">
        <v>542</v>
      </c>
      <c r="R29" s="50" t="s">
        <v>33</v>
      </c>
      <c r="S29" s="65">
        <v>325</v>
      </c>
      <c r="T29" s="9" t="s">
        <v>925</v>
      </c>
      <c r="U29" s="50" t="s">
        <v>26</v>
      </c>
    </row>
    <row r="30" spans="1:21" ht="12.6" customHeight="1">
      <c r="A30" s="67" t="s">
        <v>223</v>
      </c>
      <c r="B30" s="67" t="s">
        <v>711</v>
      </c>
      <c r="C30" s="36">
        <v>300</v>
      </c>
      <c r="D30" s="41">
        <v>4</v>
      </c>
      <c r="E30" s="52">
        <f t="shared" si="2"/>
        <v>480</v>
      </c>
      <c r="F30" s="60" t="s">
        <v>116</v>
      </c>
      <c r="G30" s="59">
        <v>4</v>
      </c>
      <c r="H30" s="40">
        <v>0.20699999999999999</v>
      </c>
      <c r="I30" s="36">
        <v>224</v>
      </c>
      <c r="J30" s="36" t="s">
        <v>14</v>
      </c>
      <c r="K30" s="52">
        <v>86</v>
      </c>
      <c r="L30" s="61">
        <f>AVERAGE(171,175,228,195,236,200)</f>
        <v>200.83333333333334</v>
      </c>
      <c r="M30" s="36" t="s">
        <v>1153</v>
      </c>
      <c r="N30" s="61">
        <f>AVERAGE(399)</f>
        <v>399</v>
      </c>
      <c r="O30" s="36" t="s">
        <v>723</v>
      </c>
      <c r="P30" s="61">
        <v>450</v>
      </c>
      <c r="Q30" s="36" t="s">
        <v>542</v>
      </c>
      <c r="R30" s="52" t="s">
        <v>33</v>
      </c>
      <c r="S30" s="61" t="s">
        <v>14</v>
      </c>
      <c r="T30" s="36" t="s">
        <v>14</v>
      </c>
      <c r="U30" s="52" t="s">
        <v>14</v>
      </c>
    </row>
    <row r="31" spans="1:21" s="26" customFormat="1" ht="12.6" customHeight="1">
      <c r="A31" s="137" t="s">
        <v>1088</v>
      </c>
      <c r="B31" s="130"/>
      <c r="C31" s="43"/>
      <c r="D31" s="131"/>
      <c r="E31" s="43"/>
      <c r="F31" s="135" t="s">
        <v>14</v>
      </c>
      <c r="G31" s="138" t="s">
        <v>14</v>
      </c>
      <c r="H31" s="134" t="s">
        <v>14</v>
      </c>
      <c r="I31" s="43" t="s">
        <v>14</v>
      </c>
      <c r="J31" s="43" t="s">
        <v>14</v>
      </c>
      <c r="K31" s="43" t="s">
        <v>14</v>
      </c>
      <c r="L31" s="43" t="s">
        <v>14</v>
      </c>
      <c r="M31" s="43" t="s">
        <v>14</v>
      </c>
      <c r="N31" s="43" t="s">
        <v>14</v>
      </c>
      <c r="O31" s="43" t="s">
        <v>14</v>
      </c>
      <c r="P31" s="43" t="s">
        <v>14</v>
      </c>
      <c r="Q31" s="43" t="s">
        <v>14</v>
      </c>
      <c r="R31" s="43" t="s">
        <v>14</v>
      </c>
      <c r="S31" s="43" t="s">
        <v>14</v>
      </c>
      <c r="T31" s="43" t="s">
        <v>14</v>
      </c>
      <c r="U31" s="43" t="s">
        <v>14</v>
      </c>
    </row>
    <row r="32" spans="1:21" s="26" customFormat="1" ht="12.6" customHeight="1">
      <c r="A32" s="73" t="s">
        <v>117</v>
      </c>
      <c r="B32" s="26" t="s">
        <v>713</v>
      </c>
      <c r="C32" s="10">
        <v>15</v>
      </c>
      <c r="D32" s="192">
        <v>3.5</v>
      </c>
      <c r="E32" s="9">
        <v>24</v>
      </c>
      <c r="F32" s="74" t="s">
        <v>116</v>
      </c>
      <c r="G32" s="75">
        <v>0.3</v>
      </c>
      <c r="H32" s="76">
        <v>0.56999999999999995</v>
      </c>
      <c r="I32" s="9">
        <v>81.5</v>
      </c>
      <c r="J32" s="9">
        <v>80</v>
      </c>
      <c r="K32" s="9" t="s">
        <v>85</v>
      </c>
      <c r="L32" s="65">
        <f>AVERAGE(807,962,800)</f>
        <v>856.33333333333337</v>
      </c>
      <c r="M32" s="10" t="s">
        <v>723</v>
      </c>
      <c r="N32" s="65">
        <f>AVERAGE(889,1120,1059)</f>
        <v>1022.6666666666666</v>
      </c>
      <c r="O32" s="10" t="s">
        <v>1153</v>
      </c>
      <c r="P32" s="65">
        <v>2800</v>
      </c>
      <c r="Q32" s="10" t="s">
        <v>892</v>
      </c>
      <c r="R32" s="9" t="s">
        <v>400</v>
      </c>
      <c r="S32" s="65">
        <v>4000</v>
      </c>
      <c r="T32" s="10" t="s">
        <v>892</v>
      </c>
      <c r="U32" s="50" t="s">
        <v>400</v>
      </c>
    </row>
    <row r="33" spans="1:21" s="26" customFormat="1" ht="12.6" customHeight="1">
      <c r="A33" s="26" t="s">
        <v>117</v>
      </c>
      <c r="B33" s="26" t="s">
        <v>214</v>
      </c>
      <c r="C33" s="10">
        <v>17</v>
      </c>
      <c r="D33" s="10">
        <v>4</v>
      </c>
      <c r="E33" s="9">
        <v>27.2</v>
      </c>
      <c r="F33" s="75" t="s">
        <v>116</v>
      </c>
      <c r="G33" s="75">
        <v>0.2</v>
      </c>
      <c r="H33" s="76">
        <v>0.22800000000000001</v>
      </c>
      <c r="I33" s="9">
        <v>32</v>
      </c>
      <c r="J33" s="9">
        <v>67</v>
      </c>
      <c r="K33" s="9" t="s">
        <v>85</v>
      </c>
      <c r="L33" s="65">
        <f>AVERAGE(148,186,263,209,203,180,193,209,212,186)</f>
        <v>198.9</v>
      </c>
      <c r="M33" s="66" t="s">
        <v>1118</v>
      </c>
      <c r="N33" s="9">
        <f>AVERAGE(252,275,263,269,245,270,255,265,298,294)</f>
        <v>268.60000000000002</v>
      </c>
      <c r="O33" s="66" t="s">
        <v>1110</v>
      </c>
      <c r="P33" s="65">
        <v>300</v>
      </c>
      <c r="Q33" s="10" t="s">
        <v>1153</v>
      </c>
      <c r="R33" s="9" t="s">
        <v>28</v>
      </c>
      <c r="S33" s="65" t="s">
        <v>14</v>
      </c>
      <c r="T33" s="10" t="s">
        <v>14</v>
      </c>
      <c r="U33" s="50" t="s">
        <v>14</v>
      </c>
    </row>
    <row r="34" spans="1:21" s="26" customFormat="1" ht="12.6" customHeight="1">
      <c r="A34" s="26" t="s">
        <v>117</v>
      </c>
      <c r="B34" s="26" t="s">
        <v>313</v>
      </c>
      <c r="C34" s="10">
        <v>17</v>
      </c>
      <c r="D34" s="192">
        <v>4</v>
      </c>
      <c r="E34" s="9">
        <v>27.2</v>
      </c>
      <c r="F34" s="75" t="s">
        <v>116</v>
      </c>
      <c r="G34" s="75">
        <v>0.2</v>
      </c>
      <c r="H34" s="76">
        <v>0.22800000000000001</v>
      </c>
      <c r="I34" s="9">
        <v>32</v>
      </c>
      <c r="J34" s="9">
        <v>67</v>
      </c>
      <c r="K34" s="9" t="s">
        <v>85</v>
      </c>
      <c r="L34" s="65">
        <f>AVERAGE(268,299,245,190,195,221,208,265,265)</f>
        <v>239.55555555555554</v>
      </c>
      <c r="M34" s="66" t="s">
        <v>723</v>
      </c>
      <c r="N34" s="9">
        <f>AVERAGE(300,264,397,350,355,255,350,315,461,400)</f>
        <v>344.7</v>
      </c>
      <c r="O34" s="66" t="s">
        <v>1118</v>
      </c>
      <c r="P34" s="65">
        <f>249*CA.US</f>
        <v>189.24</v>
      </c>
      <c r="Q34" s="10" t="s">
        <v>924</v>
      </c>
      <c r="R34" s="50" t="s">
        <v>537</v>
      </c>
      <c r="S34" s="79" t="s">
        <v>14</v>
      </c>
      <c r="T34" s="10" t="s">
        <v>14</v>
      </c>
      <c r="U34" s="66" t="s">
        <v>14</v>
      </c>
    </row>
    <row r="35" spans="1:21" s="26" customFormat="1" ht="12.6" customHeight="1">
      <c r="A35" s="26" t="s">
        <v>117</v>
      </c>
      <c r="B35" s="26" t="s">
        <v>201</v>
      </c>
      <c r="C35" s="10">
        <v>20</v>
      </c>
      <c r="D35" s="10">
        <v>4.5</v>
      </c>
      <c r="E35" s="9">
        <v>32</v>
      </c>
      <c r="F35" s="75" t="s">
        <v>116</v>
      </c>
      <c r="G35" s="75">
        <v>0.2</v>
      </c>
      <c r="H35" s="76">
        <v>0.251</v>
      </c>
      <c r="I35" s="9">
        <v>45</v>
      </c>
      <c r="J35" s="9">
        <v>62</v>
      </c>
      <c r="K35" s="9">
        <v>77</v>
      </c>
      <c r="L35" s="65">
        <f>AVERAGE(146,178,163,100,150,153,136,149)</f>
        <v>146.875</v>
      </c>
      <c r="M35" s="66" t="s">
        <v>1110</v>
      </c>
      <c r="N35" s="9">
        <f>AVERAGE(220)</f>
        <v>220</v>
      </c>
      <c r="O35" s="66" t="s">
        <v>1061</v>
      </c>
      <c r="P35" s="79">
        <v>200</v>
      </c>
      <c r="Q35" s="10" t="s">
        <v>619</v>
      </c>
      <c r="R35" s="50" t="s">
        <v>30</v>
      </c>
      <c r="S35" s="79" t="s">
        <v>14</v>
      </c>
      <c r="T35" s="10" t="s">
        <v>14</v>
      </c>
      <c r="U35" s="66" t="s">
        <v>14</v>
      </c>
    </row>
    <row r="36" spans="1:21" ht="12" customHeight="1">
      <c r="A36" s="67" t="s">
        <v>117</v>
      </c>
      <c r="B36" s="67" t="s">
        <v>202</v>
      </c>
      <c r="C36" s="36">
        <v>20</v>
      </c>
      <c r="D36" s="193">
        <v>4.5</v>
      </c>
      <c r="E36" s="36">
        <v>32</v>
      </c>
      <c r="F36" s="69" t="s">
        <v>116</v>
      </c>
      <c r="G36" s="59">
        <v>0.2</v>
      </c>
      <c r="H36" s="40">
        <v>0.251</v>
      </c>
      <c r="I36" s="36">
        <v>45</v>
      </c>
      <c r="J36" s="36">
        <v>62</v>
      </c>
      <c r="K36" s="36">
        <v>77</v>
      </c>
      <c r="L36" s="61">
        <f>AVERAGE(180,190,193,140,190,155,153)</f>
        <v>171.57142857142858</v>
      </c>
      <c r="M36" s="52" t="s">
        <v>1110</v>
      </c>
      <c r="N36" s="61">
        <f>AVERAGE(290,270,235,290,288,270,289,274,259,189,234)</f>
        <v>262.54545454545456</v>
      </c>
      <c r="O36" s="52" t="s">
        <v>1153</v>
      </c>
      <c r="P36" s="61" t="s">
        <v>14</v>
      </c>
      <c r="Q36" s="36" t="s">
        <v>14</v>
      </c>
      <c r="R36" s="52" t="s">
        <v>14</v>
      </c>
      <c r="S36" s="61" t="s">
        <v>14</v>
      </c>
      <c r="T36" s="36" t="s">
        <v>14</v>
      </c>
      <c r="U36" s="52" t="s">
        <v>14</v>
      </c>
    </row>
    <row r="37" spans="1:21" s="26" customFormat="1" ht="12.6" customHeight="1">
      <c r="A37" s="73" t="s">
        <v>117</v>
      </c>
      <c r="B37" s="46" t="s">
        <v>626</v>
      </c>
      <c r="C37" s="9">
        <v>35</v>
      </c>
      <c r="D37" s="10">
        <v>2</v>
      </c>
      <c r="E37" s="50">
        <f>C37*1.6</f>
        <v>56</v>
      </c>
      <c r="F37" s="9" t="s">
        <v>116</v>
      </c>
      <c r="G37" s="75">
        <v>0.4</v>
      </c>
      <c r="H37" s="76">
        <v>0.24199999999999999</v>
      </c>
      <c r="I37" s="9">
        <v>54</v>
      </c>
      <c r="J37" s="9">
        <v>58</v>
      </c>
      <c r="K37" s="10">
        <v>49</v>
      </c>
      <c r="L37" s="65">
        <f>AVERAGE(168,148,135,139,162,114,148,150,146,170)</f>
        <v>148</v>
      </c>
      <c r="M37" s="25" t="s">
        <v>1171</v>
      </c>
      <c r="N37" s="65">
        <f>AVERAGE(189,250,249,258)</f>
        <v>236.5</v>
      </c>
      <c r="O37" s="118" t="s">
        <v>1171</v>
      </c>
      <c r="P37" s="65">
        <v>115</v>
      </c>
      <c r="Q37" s="25" t="s">
        <v>1153</v>
      </c>
      <c r="R37" s="50" t="s">
        <v>26</v>
      </c>
      <c r="S37" s="65">
        <v>145</v>
      </c>
      <c r="T37" s="25" t="s">
        <v>1153</v>
      </c>
      <c r="U37" s="50" t="s">
        <v>26</v>
      </c>
    </row>
    <row r="38" spans="1:21" ht="12.4" customHeight="1">
      <c r="A38" s="73" t="s">
        <v>117</v>
      </c>
      <c r="B38" s="73" t="s">
        <v>1107</v>
      </c>
      <c r="C38" s="9">
        <v>50</v>
      </c>
      <c r="D38" s="10" t="s">
        <v>1099</v>
      </c>
      <c r="E38" s="9">
        <f>C38*1.6</f>
        <v>80</v>
      </c>
      <c r="F38" s="64" t="s">
        <v>116</v>
      </c>
      <c r="G38" s="75">
        <v>0.45</v>
      </c>
      <c r="H38" s="76">
        <v>0.255</v>
      </c>
      <c r="I38" s="9">
        <v>38.299999999999997</v>
      </c>
      <c r="J38" s="9">
        <v>60.6</v>
      </c>
      <c r="K38" s="50">
        <v>49</v>
      </c>
      <c r="L38" s="65">
        <f>AVERAGE(170,159,179,180,180,190)</f>
        <v>176.33333333333334</v>
      </c>
      <c r="M38" s="50" t="s">
        <v>1171</v>
      </c>
      <c r="N38" s="9">
        <f>AVERAGE(250,260,226,240,351)</f>
        <v>265.39999999999998</v>
      </c>
      <c r="O38" s="10" t="s">
        <v>1171</v>
      </c>
      <c r="P38" s="65"/>
      <c r="Q38" s="10"/>
      <c r="R38" s="50"/>
      <c r="S38" s="65"/>
      <c r="T38" s="10"/>
      <c r="U38" s="50"/>
    </row>
    <row r="39" spans="1:21" ht="12.4" customHeight="1">
      <c r="A39" s="73" t="s">
        <v>117</v>
      </c>
      <c r="B39" s="73" t="s">
        <v>1108</v>
      </c>
      <c r="C39" s="9">
        <v>50</v>
      </c>
      <c r="D39" s="10">
        <v>1.4</v>
      </c>
      <c r="E39" s="9">
        <f>C39*1.6</f>
        <v>80</v>
      </c>
      <c r="F39" s="64" t="s">
        <v>116</v>
      </c>
      <c r="G39" s="75">
        <v>0.45</v>
      </c>
      <c r="H39" s="76">
        <v>0.252</v>
      </c>
      <c r="I39" s="9">
        <v>42</v>
      </c>
      <c r="J39" s="9">
        <v>61</v>
      </c>
      <c r="K39" s="50">
        <v>49</v>
      </c>
      <c r="L39" s="65">
        <f>AVERAGE(72,60,70,67,79,75,70,86,73)</f>
        <v>72.444444444444443</v>
      </c>
      <c r="M39" s="50" t="s">
        <v>1176</v>
      </c>
      <c r="N39" s="9">
        <f>AVERAGE(128,95,118,100,128,110,105,140)</f>
        <v>115.5</v>
      </c>
      <c r="O39" s="10" t="s">
        <v>1171</v>
      </c>
      <c r="P39" s="65"/>
      <c r="Q39" s="10"/>
      <c r="R39" s="50"/>
      <c r="S39" s="65"/>
      <c r="T39" s="10"/>
      <c r="U39" s="50"/>
    </row>
    <row r="40" spans="1:21" s="26" customFormat="1" ht="12.6" customHeight="1">
      <c r="A40" s="57" t="s">
        <v>117</v>
      </c>
      <c r="B40" s="57" t="s">
        <v>507</v>
      </c>
      <c r="C40" s="71">
        <v>85</v>
      </c>
      <c r="D40" s="71">
        <v>1.8</v>
      </c>
      <c r="E40" s="36">
        <v>136</v>
      </c>
      <c r="F40" s="59" t="s">
        <v>116</v>
      </c>
      <c r="G40" s="59">
        <v>0.85</v>
      </c>
      <c r="H40" s="40">
        <v>0.33</v>
      </c>
      <c r="I40" s="36">
        <v>55</v>
      </c>
      <c r="J40" s="36">
        <v>63</v>
      </c>
      <c r="K40" s="183">
        <v>55</v>
      </c>
      <c r="L40" s="61">
        <f>AVERAGE(275,334,250,329,280,255,335)</f>
        <v>294</v>
      </c>
      <c r="M40" s="183" t="s">
        <v>817</v>
      </c>
      <c r="N40" s="61">
        <f>AVERAGE(375,400,340,349,405,339,438,360,370,400,325)</f>
        <v>372.81818181818181</v>
      </c>
      <c r="O40" s="71" t="s">
        <v>1153</v>
      </c>
      <c r="P40" s="194" t="s">
        <v>14</v>
      </c>
      <c r="Q40" s="71" t="s">
        <v>14</v>
      </c>
      <c r="R40" s="52" t="s">
        <v>14</v>
      </c>
      <c r="S40" s="194" t="s">
        <v>14</v>
      </c>
      <c r="T40" s="71" t="s">
        <v>14</v>
      </c>
      <c r="U40" s="183" t="s">
        <v>14</v>
      </c>
    </row>
    <row r="41" spans="1:21" s="26" customFormat="1" ht="12.6" customHeight="1">
      <c r="A41" s="26" t="s">
        <v>117</v>
      </c>
      <c r="B41" s="26" t="s">
        <v>156</v>
      </c>
      <c r="C41" s="10">
        <v>85</v>
      </c>
      <c r="D41" s="192">
        <v>1.8</v>
      </c>
      <c r="E41" s="9">
        <v>136</v>
      </c>
      <c r="F41" s="75" t="s">
        <v>116</v>
      </c>
      <c r="G41" s="75">
        <v>0.85</v>
      </c>
      <c r="H41" s="76">
        <v>0.34100000000000003</v>
      </c>
      <c r="I41" s="9">
        <v>57</v>
      </c>
      <c r="J41" s="9">
        <v>65</v>
      </c>
      <c r="K41" s="50">
        <v>58</v>
      </c>
      <c r="L41" s="9">
        <f>AVERAGE(259,300,269,320,349,285,338,310,360,320)</f>
        <v>311</v>
      </c>
      <c r="M41" s="66" t="s">
        <v>1153</v>
      </c>
      <c r="N41" s="9">
        <f>AVERAGE(368,450,400,374,476,409,450,456,429,550,448,459)</f>
        <v>439.08333333333331</v>
      </c>
      <c r="O41" s="10" t="s">
        <v>1153</v>
      </c>
      <c r="P41" s="79">
        <f>550*CA.US</f>
        <v>418</v>
      </c>
      <c r="Q41" s="10" t="s">
        <v>1153</v>
      </c>
      <c r="R41" s="50" t="s">
        <v>873</v>
      </c>
      <c r="S41" s="79">
        <v>575</v>
      </c>
      <c r="T41" s="10" t="s">
        <v>476</v>
      </c>
      <c r="U41" s="66" t="s">
        <v>400</v>
      </c>
    </row>
    <row r="42" spans="1:21" s="26" customFormat="1" ht="12.6" customHeight="1">
      <c r="A42" s="73" t="s">
        <v>117</v>
      </c>
      <c r="B42" s="73" t="s">
        <v>157</v>
      </c>
      <c r="C42" s="10">
        <v>135</v>
      </c>
      <c r="D42" s="192">
        <v>2.5</v>
      </c>
      <c r="E42" s="9">
        <v>216</v>
      </c>
      <c r="F42" s="74" t="s">
        <v>116</v>
      </c>
      <c r="G42" s="75">
        <v>1.5</v>
      </c>
      <c r="H42" s="76">
        <v>0.44400000000000001</v>
      </c>
      <c r="I42" s="9">
        <v>86</v>
      </c>
      <c r="J42" s="9">
        <v>67</v>
      </c>
      <c r="K42" s="9">
        <v>58</v>
      </c>
      <c r="L42" s="65">
        <f>AVERAGE(185,137,160,139,158,129,122,179,152,169,132,175)</f>
        <v>153.08333333333334</v>
      </c>
      <c r="M42" s="10" t="s">
        <v>1171</v>
      </c>
      <c r="N42" s="65">
        <f>AVERAGE(248,188,299,199,252,258,243,218,264,203,280,280,255,250,240)</f>
        <v>245.13333333333333</v>
      </c>
      <c r="O42" s="10" t="s">
        <v>1171</v>
      </c>
      <c r="P42" s="65">
        <v>150</v>
      </c>
      <c r="Q42" s="10" t="s">
        <v>1153</v>
      </c>
      <c r="R42" s="9" t="s">
        <v>28</v>
      </c>
      <c r="S42" s="65">
        <v>195</v>
      </c>
      <c r="T42" s="10" t="s">
        <v>544</v>
      </c>
      <c r="U42" s="50" t="s">
        <v>27</v>
      </c>
    </row>
    <row r="43" spans="1:21" s="26" customFormat="1" ht="12.6" customHeight="1">
      <c r="A43" s="67" t="s">
        <v>117</v>
      </c>
      <c r="B43" s="67" t="s">
        <v>203</v>
      </c>
      <c r="C43" s="71">
        <v>500</v>
      </c>
      <c r="D43" s="193">
        <v>4.5</v>
      </c>
      <c r="E43" s="36">
        <v>800</v>
      </c>
      <c r="F43" s="72" t="s">
        <v>116</v>
      </c>
      <c r="G43" s="59">
        <v>10</v>
      </c>
      <c r="H43" s="40">
        <v>3.5</v>
      </c>
      <c r="I43" s="36" t="s">
        <v>14</v>
      </c>
      <c r="J43" s="36" t="s">
        <v>14</v>
      </c>
      <c r="K43" s="36">
        <v>46</v>
      </c>
      <c r="L43" s="61">
        <f>AVERAGE(337,271,340,368,304,395,367,356,365)</f>
        <v>344.77777777777777</v>
      </c>
      <c r="M43" s="68" t="s">
        <v>1153</v>
      </c>
      <c r="N43" s="61">
        <f>AVERAGE(450,420,495,420,500,500,500)</f>
        <v>469.28571428571428</v>
      </c>
      <c r="O43" s="68" t="s">
        <v>1153</v>
      </c>
      <c r="P43" s="61">
        <v>500</v>
      </c>
      <c r="Q43" s="68" t="s">
        <v>723</v>
      </c>
      <c r="R43" s="36" t="s">
        <v>30</v>
      </c>
      <c r="S43" s="61" t="s">
        <v>14</v>
      </c>
      <c r="T43" s="68" t="s">
        <v>14</v>
      </c>
      <c r="U43" s="52" t="s">
        <v>14</v>
      </c>
    </row>
    <row r="44" spans="1:21" s="26" customFormat="1" ht="12.6" customHeight="1">
      <c r="A44" s="137" t="s">
        <v>1087</v>
      </c>
      <c r="B44" s="130"/>
      <c r="C44" s="43"/>
      <c r="D44" s="131" t="s">
        <v>14</v>
      </c>
      <c r="E44" s="43" t="s">
        <v>14</v>
      </c>
      <c r="F44" s="135" t="s">
        <v>14</v>
      </c>
      <c r="G44" s="138" t="s">
        <v>14</v>
      </c>
      <c r="H44" s="134" t="s">
        <v>14</v>
      </c>
      <c r="I44" s="43" t="s">
        <v>14</v>
      </c>
      <c r="J44" s="43" t="s">
        <v>14</v>
      </c>
      <c r="K44" s="43" t="s">
        <v>14</v>
      </c>
      <c r="L44" s="43" t="s">
        <v>14</v>
      </c>
      <c r="M44" s="43" t="s">
        <v>14</v>
      </c>
      <c r="N44" s="43" t="s">
        <v>14</v>
      </c>
      <c r="O44" s="43" t="s">
        <v>14</v>
      </c>
      <c r="P44" s="43" t="s">
        <v>14</v>
      </c>
      <c r="Q44" s="43" t="s">
        <v>14</v>
      </c>
      <c r="R44" s="43" t="s">
        <v>14</v>
      </c>
      <c r="S44" s="43" t="s">
        <v>14</v>
      </c>
      <c r="T44" s="43" t="s">
        <v>14</v>
      </c>
      <c r="U44" s="43" t="s">
        <v>14</v>
      </c>
    </row>
    <row r="45" spans="1:21" s="26" customFormat="1" ht="12.6" customHeight="1">
      <c r="A45" s="26" t="s">
        <v>135</v>
      </c>
      <c r="B45" s="26" t="s">
        <v>280</v>
      </c>
      <c r="C45" s="9">
        <v>35</v>
      </c>
      <c r="D45" s="10">
        <v>2.8</v>
      </c>
      <c r="E45" s="9">
        <f t="shared" ref="E45:E46" si="3">1.6*C45</f>
        <v>56</v>
      </c>
      <c r="F45" s="190" t="s">
        <v>116</v>
      </c>
      <c r="G45" s="75">
        <v>0.4</v>
      </c>
      <c r="H45" s="76">
        <v>0.21</v>
      </c>
      <c r="I45" s="9">
        <v>53</v>
      </c>
      <c r="J45" s="9" t="s">
        <v>14</v>
      </c>
      <c r="K45" s="66">
        <v>49</v>
      </c>
      <c r="L45" s="65">
        <f>AVERAGE(146,150,125,205,199,185)</f>
        <v>168.33333333333334</v>
      </c>
      <c r="M45" s="118" t="s">
        <v>1153</v>
      </c>
      <c r="N45" s="65">
        <f>AVERAGE(185)</f>
        <v>185</v>
      </c>
      <c r="O45" s="25" t="s">
        <v>954</v>
      </c>
      <c r="P45" s="65" t="s">
        <v>14</v>
      </c>
      <c r="Q45" s="25" t="s">
        <v>14</v>
      </c>
      <c r="R45" s="66" t="s">
        <v>14</v>
      </c>
      <c r="S45" s="79" t="s">
        <v>14</v>
      </c>
      <c r="T45" s="25" t="s">
        <v>14</v>
      </c>
      <c r="U45" s="66" t="s">
        <v>14</v>
      </c>
    </row>
    <row r="46" spans="1:21" s="26" customFormat="1" ht="12.6" customHeight="1">
      <c r="A46" s="73" t="s">
        <v>135</v>
      </c>
      <c r="B46" s="73" t="s">
        <v>282</v>
      </c>
      <c r="C46" s="9">
        <v>50</v>
      </c>
      <c r="D46" s="10">
        <v>1.8</v>
      </c>
      <c r="E46" s="9">
        <f t="shared" si="3"/>
        <v>80</v>
      </c>
      <c r="F46" s="74" t="s">
        <v>116</v>
      </c>
      <c r="G46" s="75">
        <v>0.45</v>
      </c>
      <c r="H46" s="76">
        <v>0.188</v>
      </c>
      <c r="I46" s="9">
        <v>38</v>
      </c>
      <c r="J46" s="9" t="s">
        <v>14</v>
      </c>
      <c r="K46" s="50">
        <v>49</v>
      </c>
      <c r="L46" s="65">
        <f>AVERAGE(175,162,135,150,157,105,139,133,121,130,121,158,145,150,134)</f>
        <v>141</v>
      </c>
      <c r="M46" s="50" t="s">
        <v>1153</v>
      </c>
      <c r="N46" s="9">
        <f>AVERAGE(210,189,200,179,329,358,199,203,261,215,265,250,280)</f>
        <v>241.38461538461539</v>
      </c>
      <c r="O46" s="9" t="s">
        <v>1171</v>
      </c>
      <c r="P46" s="65" t="s">
        <v>14</v>
      </c>
      <c r="Q46" s="9" t="s">
        <v>14</v>
      </c>
      <c r="R46" s="118" t="s">
        <v>14</v>
      </c>
      <c r="S46" s="191" t="s">
        <v>14</v>
      </c>
      <c r="T46" s="9" t="s">
        <v>14</v>
      </c>
      <c r="U46" s="118" t="s">
        <v>14</v>
      </c>
    </row>
    <row r="47" spans="1:21" s="26" customFormat="1" ht="12.6" customHeight="1">
      <c r="A47" s="137" t="s">
        <v>1090</v>
      </c>
      <c r="B47" s="130"/>
      <c r="C47" s="43"/>
      <c r="D47" s="131" t="s">
        <v>14</v>
      </c>
      <c r="E47" s="43" t="s">
        <v>14</v>
      </c>
      <c r="F47" s="135" t="s">
        <v>14</v>
      </c>
      <c r="G47" s="138" t="s">
        <v>14</v>
      </c>
      <c r="H47" s="134" t="s">
        <v>14</v>
      </c>
      <c r="I47" s="43" t="s">
        <v>14</v>
      </c>
      <c r="J47" s="43" t="s">
        <v>14</v>
      </c>
      <c r="K47" s="43" t="s">
        <v>14</v>
      </c>
      <c r="L47" s="43" t="s">
        <v>14</v>
      </c>
      <c r="M47" s="43" t="s">
        <v>14</v>
      </c>
      <c r="N47" s="43" t="s">
        <v>14</v>
      </c>
      <c r="O47" s="43" t="s">
        <v>14</v>
      </c>
      <c r="P47" s="43" t="s">
        <v>14</v>
      </c>
      <c r="Q47" s="43" t="s">
        <v>14</v>
      </c>
      <c r="R47" s="43" t="s">
        <v>14</v>
      </c>
      <c r="S47" s="43" t="s">
        <v>14</v>
      </c>
      <c r="T47" s="43" t="s">
        <v>14</v>
      </c>
      <c r="U47" s="43" t="s">
        <v>14</v>
      </c>
    </row>
    <row r="48" spans="1:21" ht="12.6" customHeight="1">
      <c r="A48" s="73" t="s">
        <v>587</v>
      </c>
      <c r="B48" s="73" t="s">
        <v>591</v>
      </c>
      <c r="C48" s="9">
        <v>16</v>
      </c>
      <c r="D48" s="10">
        <v>2.8</v>
      </c>
      <c r="E48" s="9">
        <f t="shared" ref="E48:E58" si="4">C48*1.6</f>
        <v>25.6</v>
      </c>
      <c r="F48" s="64" t="s">
        <v>116</v>
      </c>
      <c r="G48" s="75">
        <v>0.25</v>
      </c>
      <c r="H48" s="76">
        <v>0.42499999999999999</v>
      </c>
      <c r="I48" s="9" t="s">
        <v>14</v>
      </c>
      <c r="J48" s="9" t="s">
        <v>14</v>
      </c>
      <c r="K48" s="50" t="s">
        <v>123</v>
      </c>
      <c r="L48" s="65">
        <f>AVERAGE(192,253,170,205)</f>
        <v>205</v>
      </c>
      <c r="M48" s="118" t="s">
        <v>918</v>
      </c>
      <c r="N48" s="65">
        <f>AVERAGE(258,340)</f>
        <v>299</v>
      </c>
      <c r="O48" s="66" t="s">
        <v>709</v>
      </c>
      <c r="P48" s="65" t="s">
        <v>14</v>
      </c>
      <c r="Q48" s="9" t="s">
        <v>14</v>
      </c>
      <c r="R48" s="50" t="s">
        <v>14</v>
      </c>
      <c r="S48" s="65">
        <v>1000</v>
      </c>
      <c r="T48" s="9" t="s">
        <v>892</v>
      </c>
      <c r="U48" s="50" t="s">
        <v>400</v>
      </c>
    </row>
    <row r="49" spans="1:21" ht="12.6" customHeight="1">
      <c r="A49" s="73" t="s">
        <v>587</v>
      </c>
      <c r="B49" s="73" t="s">
        <v>578</v>
      </c>
      <c r="C49" s="9">
        <v>19</v>
      </c>
      <c r="D49" s="10">
        <v>3.5</v>
      </c>
      <c r="E49" s="9">
        <f t="shared" si="4"/>
        <v>30.400000000000002</v>
      </c>
      <c r="F49" s="64" t="s">
        <v>116</v>
      </c>
      <c r="G49" s="75">
        <v>0.3</v>
      </c>
      <c r="H49" s="76">
        <v>0.26400000000000001</v>
      </c>
      <c r="I49" s="9" t="s">
        <v>14</v>
      </c>
      <c r="J49" s="9" t="s">
        <v>14</v>
      </c>
      <c r="K49" s="50">
        <v>72</v>
      </c>
      <c r="L49" s="65">
        <f>AVERAGE(335,235,242,211,320,292,300,351,345,310,364)</f>
        <v>300.45454545454544</v>
      </c>
      <c r="M49" s="9" t="s">
        <v>1110</v>
      </c>
      <c r="N49" s="65">
        <f>AVERAGE(439,415)</f>
        <v>427</v>
      </c>
      <c r="O49" s="118" t="s">
        <v>688</v>
      </c>
      <c r="P49" s="65" t="s">
        <v>14</v>
      </c>
      <c r="Q49" s="9" t="s">
        <v>14</v>
      </c>
      <c r="R49" s="50" t="s">
        <v>14</v>
      </c>
      <c r="S49" s="65">
        <v>900</v>
      </c>
      <c r="T49" s="9" t="s">
        <v>892</v>
      </c>
      <c r="U49" s="50" t="s">
        <v>400</v>
      </c>
    </row>
    <row r="50" spans="1:21" ht="12.6" customHeight="1">
      <c r="A50" s="73" t="s">
        <v>587</v>
      </c>
      <c r="B50" s="73" t="s">
        <v>579</v>
      </c>
      <c r="C50" s="9">
        <v>24</v>
      </c>
      <c r="D50" s="10">
        <v>2.8</v>
      </c>
      <c r="E50" s="9">
        <f t="shared" si="4"/>
        <v>38.400000000000006</v>
      </c>
      <c r="F50" s="64" t="s">
        <v>116</v>
      </c>
      <c r="G50" s="75">
        <v>0.3</v>
      </c>
      <c r="H50" s="76">
        <v>0.17499999999999999</v>
      </c>
      <c r="I50" s="9" t="s">
        <v>14</v>
      </c>
      <c r="J50" s="9" t="s">
        <v>14</v>
      </c>
      <c r="K50" s="9">
        <v>49</v>
      </c>
      <c r="L50" s="65">
        <f>AVERAGE(118,200)</f>
        <v>159</v>
      </c>
      <c r="M50" s="50" t="s">
        <v>709</v>
      </c>
      <c r="N50" s="65">
        <f>AVERAGE(280)</f>
        <v>280</v>
      </c>
      <c r="O50" s="118" t="s">
        <v>918</v>
      </c>
      <c r="P50" s="9" t="s">
        <v>14</v>
      </c>
      <c r="Q50" s="9" t="s">
        <v>14</v>
      </c>
      <c r="R50" s="9" t="s">
        <v>14</v>
      </c>
      <c r="S50" s="65">
        <v>350</v>
      </c>
      <c r="T50" s="9" t="s">
        <v>892</v>
      </c>
      <c r="U50" s="50" t="s">
        <v>400</v>
      </c>
    </row>
    <row r="51" spans="1:21" ht="12.6" customHeight="1">
      <c r="A51" s="73" t="s">
        <v>587</v>
      </c>
      <c r="B51" s="73" t="s">
        <v>580</v>
      </c>
      <c r="C51" s="9">
        <v>35</v>
      </c>
      <c r="D51" s="10">
        <v>1.9</v>
      </c>
      <c r="E51" s="9">
        <f t="shared" si="4"/>
        <v>56</v>
      </c>
      <c r="F51" s="64" t="s">
        <v>116</v>
      </c>
      <c r="G51" s="75">
        <v>0.4</v>
      </c>
      <c r="H51" s="76">
        <v>0.23</v>
      </c>
      <c r="I51" s="9" t="s">
        <v>14</v>
      </c>
      <c r="J51" s="9" t="s">
        <v>14</v>
      </c>
      <c r="K51" s="9">
        <v>49</v>
      </c>
      <c r="L51" s="65">
        <f>AVERAGE(141,159)</f>
        <v>150</v>
      </c>
      <c r="M51" s="50" t="s">
        <v>1100</v>
      </c>
      <c r="N51" s="65">
        <f>AVERAGE(260,295,324,297,305)</f>
        <v>296.2</v>
      </c>
      <c r="O51" s="118" t="s">
        <v>1118</v>
      </c>
      <c r="P51" s="9" t="s">
        <v>14</v>
      </c>
      <c r="Q51" s="9" t="s">
        <v>14</v>
      </c>
      <c r="R51" s="9" t="s">
        <v>14</v>
      </c>
      <c r="S51" s="65">
        <v>500</v>
      </c>
      <c r="T51" s="9" t="s">
        <v>892</v>
      </c>
      <c r="U51" s="50" t="s">
        <v>400</v>
      </c>
    </row>
    <row r="52" spans="1:21" ht="12.6" customHeight="1">
      <c r="A52" s="73" t="s">
        <v>587</v>
      </c>
      <c r="B52" s="73" t="s">
        <v>581</v>
      </c>
      <c r="C52" s="9">
        <v>35</v>
      </c>
      <c r="D52" s="10">
        <v>2.8</v>
      </c>
      <c r="E52" s="9">
        <f t="shared" si="4"/>
        <v>56</v>
      </c>
      <c r="F52" s="64" t="s">
        <v>116</v>
      </c>
      <c r="G52" s="75">
        <v>0.4</v>
      </c>
      <c r="H52" s="76">
        <v>0.185</v>
      </c>
      <c r="I52" s="9">
        <v>44</v>
      </c>
      <c r="J52" s="9">
        <v>60</v>
      </c>
      <c r="K52" s="9">
        <v>49</v>
      </c>
      <c r="L52" s="65">
        <f>AVERAGE(70,125,129,125,76,82,100,138,122)</f>
        <v>107.44444444444444</v>
      </c>
      <c r="M52" s="50" t="s">
        <v>1153</v>
      </c>
      <c r="N52" s="65">
        <f>AVERAGE(175,155,150,181,129,150,153,145,149,138,143)</f>
        <v>151.63636363636363</v>
      </c>
      <c r="O52" s="118" t="s">
        <v>954</v>
      </c>
      <c r="P52" s="9" t="s">
        <v>14</v>
      </c>
      <c r="Q52" s="9" t="s">
        <v>14</v>
      </c>
      <c r="R52" s="9" t="s">
        <v>14</v>
      </c>
      <c r="S52" s="65" t="s">
        <v>14</v>
      </c>
      <c r="T52" s="9" t="s">
        <v>14</v>
      </c>
      <c r="U52" s="50" t="s">
        <v>14</v>
      </c>
    </row>
    <row r="53" spans="1:21" ht="12.6" customHeight="1">
      <c r="A53" s="73" t="s">
        <v>587</v>
      </c>
      <c r="B53" s="73" t="s">
        <v>582</v>
      </c>
      <c r="C53" s="9">
        <v>50</v>
      </c>
      <c r="D53" s="10">
        <v>1.4</v>
      </c>
      <c r="E53" s="9">
        <f t="shared" si="4"/>
        <v>80</v>
      </c>
      <c r="F53" s="64" t="s">
        <v>116</v>
      </c>
      <c r="G53" s="75">
        <v>0.45</v>
      </c>
      <c r="H53" s="76">
        <v>0.27</v>
      </c>
      <c r="I53" s="9">
        <v>43</v>
      </c>
      <c r="J53" s="9">
        <v>63</v>
      </c>
      <c r="K53" s="9">
        <v>49</v>
      </c>
      <c r="L53" s="65">
        <f>AVERAGE(100,96,135,95,135,112,95,119,85,116,124,117,110,155,124,129,107)</f>
        <v>114.94117647058823</v>
      </c>
      <c r="M53" s="118" t="s">
        <v>1171</v>
      </c>
      <c r="N53" s="65">
        <f>AVERAGE(166,178,190,185,199,195,230,205,200)</f>
        <v>194.22222222222223</v>
      </c>
      <c r="O53" s="118" t="s">
        <v>1171</v>
      </c>
      <c r="P53" s="9">
        <v>250</v>
      </c>
      <c r="Q53" s="9" t="s">
        <v>892</v>
      </c>
      <c r="R53" s="9" t="s">
        <v>400</v>
      </c>
      <c r="S53" s="65">
        <v>325</v>
      </c>
      <c r="T53" s="9" t="s">
        <v>892</v>
      </c>
      <c r="U53" s="50" t="s">
        <v>400</v>
      </c>
    </row>
    <row r="54" spans="1:21" s="26" customFormat="1" ht="12.6" customHeight="1">
      <c r="A54" s="73" t="s">
        <v>587</v>
      </c>
      <c r="B54" s="73" t="s">
        <v>1120</v>
      </c>
      <c r="C54" s="10">
        <v>55</v>
      </c>
      <c r="D54" s="10">
        <v>2.2000000000000002</v>
      </c>
      <c r="E54" s="9">
        <f t="shared" ref="E54" si="5">C54*1.6</f>
        <v>88</v>
      </c>
      <c r="F54" s="64" t="s">
        <v>116</v>
      </c>
      <c r="G54" s="75">
        <v>0.6</v>
      </c>
      <c r="H54" s="76">
        <v>0.14499999999999999</v>
      </c>
      <c r="I54" s="9">
        <v>37</v>
      </c>
      <c r="J54" s="9">
        <v>52</v>
      </c>
      <c r="K54" s="9">
        <v>49</v>
      </c>
      <c r="L54" s="65">
        <f>AVERAGE(45,70,52,50,55,73,45)</f>
        <v>55.714285714285715</v>
      </c>
      <c r="M54" s="118" t="s">
        <v>1153</v>
      </c>
      <c r="N54" s="65">
        <f>AVERAGE(100,90,90)</f>
        <v>93.333333333333329</v>
      </c>
      <c r="O54" s="118" t="s">
        <v>1153</v>
      </c>
      <c r="P54" s="9" t="s">
        <v>14</v>
      </c>
      <c r="Q54" s="25" t="s">
        <v>14</v>
      </c>
      <c r="R54" s="9" t="s">
        <v>14</v>
      </c>
      <c r="S54" s="65" t="s">
        <v>14</v>
      </c>
      <c r="T54" s="25" t="s">
        <v>14</v>
      </c>
      <c r="U54" s="50" t="s">
        <v>14</v>
      </c>
    </row>
    <row r="55" spans="1:21" s="26" customFormat="1" ht="12.6" customHeight="1">
      <c r="A55" s="73" t="s">
        <v>587</v>
      </c>
      <c r="B55" s="73" t="s">
        <v>586</v>
      </c>
      <c r="C55" s="10">
        <v>55</v>
      </c>
      <c r="D55" s="10">
        <v>3.5</v>
      </c>
      <c r="E55" s="9">
        <f t="shared" si="4"/>
        <v>88</v>
      </c>
      <c r="F55" s="64" t="s">
        <v>116</v>
      </c>
      <c r="G55" s="75">
        <v>0.4</v>
      </c>
      <c r="H55" s="76">
        <v>0.185</v>
      </c>
      <c r="I55" s="9" t="s">
        <v>14</v>
      </c>
      <c r="J55" s="9" t="s">
        <v>14</v>
      </c>
      <c r="K55" s="9">
        <v>49</v>
      </c>
      <c r="L55" s="65">
        <f>AVERAGE(100)</f>
        <v>100</v>
      </c>
      <c r="M55" s="118" t="s">
        <v>954</v>
      </c>
      <c r="N55" s="65">
        <f>AVERAGE(300,260,239,280,275,280)</f>
        <v>272.33333333333331</v>
      </c>
      <c r="O55" s="118" t="s">
        <v>874</v>
      </c>
      <c r="P55" s="9">
        <v>275</v>
      </c>
      <c r="Q55" s="25" t="s">
        <v>892</v>
      </c>
      <c r="R55" s="9" t="s">
        <v>400</v>
      </c>
      <c r="S55" s="65">
        <v>400</v>
      </c>
      <c r="T55" s="25" t="s">
        <v>892</v>
      </c>
      <c r="U55" s="50" t="s">
        <v>400</v>
      </c>
    </row>
    <row r="56" spans="1:21" s="26" customFormat="1" ht="12.6" customHeight="1">
      <c r="A56" s="73" t="s">
        <v>587</v>
      </c>
      <c r="B56" s="73" t="s">
        <v>583</v>
      </c>
      <c r="C56" s="10">
        <v>85</v>
      </c>
      <c r="D56" s="10">
        <v>4</v>
      </c>
      <c r="E56" s="9">
        <f t="shared" si="4"/>
        <v>136</v>
      </c>
      <c r="F56" s="64" t="s">
        <v>116</v>
      </c>
      <c r="G56" s="75">
        <v>1</v>
      </c>
      <c r="H56" s="76">
        <v>0.28499999999999998</v>
      </c>
      <c r="I56" s="9" t="s">
        <v>14</v>
      </c>
      <c r="J56" s="9" t="s">
        <v>14</v>
      </c>
      <c r="K56" s="9">
        <v>49</v>
      </c>
      <c r="L56" s="65">
        <f>AVERAGE(400,499,570)</f>
        <v>489.66666666666669</v>
      </c>
      <c r="M56" s="118" t="s">
        <v>1153</v>
      </c>
      <c r="N56" s="65">
        <f>AVERAGE(757,800,850)</f>
        <v>802.33333333333337</v>
      </c>
      <c r="O56" s="118" t="s">
        <v>674</v>
      </c>
      <c r="P56" s="9">
        <v>850</v>
      </c>
      <c r="Q56" s="25" t="s">
        <v>892</v>
      </c>
      <c r="R56" s="9" t="s">
        <v>400</v>
      </c>
      <c r="S56" s="65">
        <v>950</v>
      </c>
      <c r="T56" s="25" t="s">
        <v>892</v>
      </c>
      <c r="U56" s="50" t="s">
        <v>400</v>
      </c>
    </row>
    <row r="57" spans="1:21" s="26" customFormat="1" ht="12.6" customHeight="1">
      <c r="A57" s="73" t="s">
        <v>587</v>
      </c>
      <c r="B57" s="73" t="s">
        <v>584</v>
      </c>
      <c r="C57" s="10">
        <v>100</v>
      </c>
      <c r="D57" s="10">
        <v>2.8</v>
      </c>
      <c r="E57" s="9">
        <f t="shared" si="4"/>
        <v>160</v>
      </c>
      <c r="F57" s="64" t="s">
        <v>116</v>
      </c>
      <c r="G57" s="75">
        <v>1.2</v>
      </c>
      <c r="H57" s="76">
        <v>0.254</v>
      </c>
      <c r="I57" s="9" t="s">
        <v>528</v>
      </c>
      <c r="J57" s="9" t="s">
        <v>14</v>
      </c>
      <c r="K57" s="9">
        <v>49</v>
      </c>
      <c r="L57" s="65">
        <f>AVERAGE(178,176,143,110,120,125,175,153,181,148,124,165)</f>
        <v>149.83333333333334</v>
      </c>
      <c r="M57" s="118" t="s">
        <v>1110</v>
      </c>
      <c r="N57" s="65">
        <f>AVERAGE(223,194,171,195,200,219,231,269,255)</f>
        <v>217.44444444444446</v>
      </c>
      <c r="O57" s="118" t="s">
        <v>708</v>
      </c>
      <c r="P57" s="9" t="s">
        <v>14</v>
      </c>
      <c r="Q57" s="25" t="s">
        <v>14</v>
      </c>
      <c r="R57" s="9" t="s">
        <v>14</v>
      </c>
      <c r="S57" s="65">
        <v>250</v>
      </c>
      <c r="T57" s="25" t="s">
        <v>892</v>
      </c>
      <c r="U57" s="50" t="s">
        <v>400</v>
      </c>
    </row>
    <row r="58" spans="1:21" ht="12.6" customHeight="1">
      <c r="A58" s="67" t="s">
        <v>587</v>
      </c>
      <c r="B58" s="67" t="s">
        <v>585</v>
      </c>
      <c r="C58" s="36">
        <v>135</v>
      </c>
      <c r="D58" s="71">
        <v>2.5</v>
      </c>
      <c r="E58" s="36">
        <f t="shared" si="4"/>
        <v>216</v>
      </c>
      <c r="F58" s="69" t="s">
        <v>116</v>
      </c>
      <c r="G58" s="59">
        <v>1.5</v>
      </c>
      <c r="H58" s="40">
        <v>0.432</v>
      </c>
      <c r="I58" s="36">
        <v>80</v>
      </c>
      <c r="J58" s="36">
        <v>66</v>
      </c>
      <c r="K58" s="71">
        <v>58</v>
      </c>
      <c r="L58" s="61">
        <f>AVERAGE(197,199,162,146,185,147,158,170,195,129)</f>
        <v>168.8</v>
      </c>
      <c r="M58" s="52" t="s">
        <v>1100</v>
      </c>
      <c r="N58" s="61">
        <f>AVERAGE(219,300,249,306,269,275,305,298,275,264)</f>
        <v>276</v>
      </c>
      <c r="O58" s="52" t="s">
        <v>874</v>
      </c>
      <c r="P58" s="36">
        <v>180</v>
      </c>
      <c r="Q58" s="36" t="s">
        <v>874</v>
      </c>
      <c r="R58" s="52" t="s">
        <v>830</v>
      </c>
      <c r="S58" s="61" t="s">
        <v>14</v>
      </c>
      <c r="T58" s="36" t="s">
        <v>14</v>
      </c>
      <c r="U58" s="52" t="s">
        <v>14</v>
      </c>
    </row>
    <row r="59" spans="1:21" s="26" customFormat="1" ht="12.6" customHeight="1">
      <c r="A59" s="137" t="s">
        <v>1089</v>
      </c>
      <c r="B59" s="130"/>
      <c r="C59" s="43"/>
      <c r="D59" s="131" t="s">
        <v>14</v>
      </c>
      <c r="E59" s="43" t="s">
        <v>14</v>
      </c>
      <c r="F59" s="135" t="s">
        <v>14</v>
      </c>
      <c r="G59" s="138" t="s">
        <v>14</v>
      </c>
      <c r="H59" s="134" t="s">
        <v>14</v>
      </c>
      <c r="I59" s="43" t="s">
        <v>14</v>
      </c>
      <c r="J59" s="43" t="s">
        <v>14</v>
      </c>
      <c r="K59" s="43" t="s">
        <v>14</v>
      </c>
      <c r="L59" s="43" t="s">
        <v>14</v>
      </c>
      <c r="M59" s="43" t="s">
        <v>14</v>
      </c>
      <c r="N59" s="43" t="s">
        <v>14</v>
      </c>
      <c r="O59" s="43" t="s">
        <v>14</v>
      </c>
      <c r="P59" s="43" t="s">
        <v>14</v>
      </c>
      <c r="Q59" s="43" t="s">
        <v>14</v>
      </c>
      <c r="R59" s="43" t="s">
        <v>14</v>
      </c>
      <c r="S59" s="43" t="s">
        <v>14</v>
      </c>
      <c r="T59" s="43" t="s">
        <v>14</v>
      </c>
      <c r="U59" s="43" t="s">
        <v>14</v>
      </c>
    </row>
    <row r="60" spans="1:21" ht="12.6" customHeight="1">
      <c r="A60" s="73" t="s">
        <v>206</v>
      </c>
      <c r="B60" s="73" t="s">
        <v>515</v>
      </c>
      <c r="C60" s="9">
        <v>21</v>
      </c>
      <c r="D60" s="10">
        <v>4</v>
      </c>
      <c r="E60" s="9">
        <f t="shared" ref="E60:E67" si="6">C60*1.6</f>
        <v>33.6</v>
      </c>
      <c r="F60" s="64" t="s">
        <v>116</v>
      </c>
      <c r="G60" s="75">
        <v>0.45</v>
      </c>
      <c r="H60" s="76">
        <v>0.22</v>
      </c>
      <c r="I60" s="9">
        <v>49</v>
      </c>
      <c r="J60" s="9">
        <v>62</v>
      </c>
      <c r="K60" s="9">
        <v>58</v>
      </c>
      <c r="L60" s="65">
        <f>AVERAGE(129,140,159,108,160,139)</f>
        <v>139.16666666666666</v>
      </c>
      <c r="M60" s="118" t="s">
        <v>813</v>
      </c>
      <c r="N60" s="65">
        <f>AVERAGE(250,185)</f>
        <v>217.5</v>
      </c>
      <c r="O60" s="118" t="s">
        <v>595</v>
      </c>
      <c r="P60" s="9" t="s">
        <v>14</v>
      </c>
      <c r="Q60" s="9" t="s">
        <v>14</v>
      </c>
      <c r="R60" s="9" t="s">
        <v>14</v>
      </c>
      <c r="S60" s="65" t="s">
        <v>14</v>
      </c>
      <c r="T60" s="9" t="s">
        <v>14</v>
      </c>
      <c r="U60" s="50" t="s">
        <v>14</v>
      </c>
    </row>
    <row r="61" spans="1:21" s="26" customFormat="1" ht="12.6" customHeight="1">
      <c r="A61" s="73" t="s">
        <v>206</v>
      </c>
      <c r="B61" s="73" t="s">
        <v>1184</v>
      </c>
      <c r="C61" s="10">
        <v>28</v>
      </c>
      <c r="D61" s="10">
        <v>2.8</v>
      </c>
      <c r="E61" s="9">
        <f t="shared" si="6"/>
        <v>44.800000000000004</v>
      </c>
      <c r="F61" s="74" t="s">
        <v>116</v>
      </c>
      <c r="G61" s="75">
        <v>0.3</v>
      </c>
      <c r="H61" s="76">
        <v>0.245</v>
      </c>
      <c r="I61" s="9"/>
      <c r="J61" s="9"/>
      <c r="K61" s="9">
        <v>58</v>
      </c>
      <c r="L61" s="65">
        <f>AVERAGE(55)</f>
        <v>55</v>
      </c>
      <c r="M61" s="118" t="s">
        <v>1171</v>
      </c>
      <c r="N61" s="65">
        <f>AVERAGE(80,79)</f>
        <v>79.5</v>
      </c>
      <c r="O61" s="118" t="s">
        <v>1171</v>
      </c>
      <c r="P61" s="9" t="s">
        <v>14</v>
      </c>
      <c r="Q61" s="25" t="s">
        <v>14</v>
      </c>
      <c r="R61" s="9" t="s">
        <v>14</v>
      </c>
      <c r="S61" s="65" t="s">
        <v>14</v>
      </c>
      <c r="T61" s="25" t="s">
        <v>14</v>
      </c>
      <c r="U61" s="50" t="s">
        <v>14</v>
      </c>
    </row>
    <row r="62" spans="1:21" s="26" customFormat="1" ht="12.6" customHeight="1">
      <c r="A62" s="73" t="s">
        <v>206</v>
      </c>
      <c r="B62" s="73" t="s">
        <v>518</v>
      </c>
      <c r="C62" s="10">
        <v>35</v>
      </c>
      <c r="D62" s="10">
        <v>2.8</v>
      </c>
      <c r="E62" s="9">
        <f t="shared" si="6"/>
        <v>56</v>
      </c>
      <c r="F62" s="74" t="s">
        <v>116</v>
      </c>
      <c r="G62" s="75">
        <v>0.4</v>
      </c>
      <c r="H62" s="76">
        <v>0.22500000000000001</v>
      </c>
      <c r="I62" s="9" t="s">
        <v>14</v>
      </c>
      <c r="J62" s="9" t="s">
        <v>14</v>
      </c>
      <c r="K62" s="9">
        <v>52</v>
      </c>
      <c r="L62" s="65">
        <f>AVERAGE(63,86,82,65)</f>
        <v>74</v>
      </c>
      <c r="M62" s="118" t="s">
        <v>1091</v>
      </c>
      <c r="N62" s="65">
        <f>AVERAGE(141)</f>
        <v>141</v>
      </c>
      <c r="O62" s="118" t="s">
        <v>1061</v>
      </c>
      <c r="P62" s="9" t="s">
        <v>14</v>
      </c>
      <c r="Q62" s="25" t="s">
        <v>14</v>
      </c>
      <c r="R62" s="9" t="s">
        <v>14</v>
      </c>
      <c r="S62" s="65" t="s">
        <v>14</v>
      </c>
      <c r="T62" s="25" t="s">
        <v>14</v>
      </c>
      <c r="U62" s="50" t="s">
        <v>14</v>
      </c>
    </row>
    <row r="63" spans="1:21" ht="12.6" customHeight="1">
      <c r="A63" s="73" t="s">
        <v>206</v>
      </c>
      <c r="B63" s="73" t="s">
        <v>1083</v>
      </c>
      <c r="C63" s="9">
        <v>55</v>
      </c>
      <c r="D63" s="10">
        <v>1.4</v>
      </c>
      <c r="E63" s="9">
        <f t="shared" si="6"/>
        <v>88</v>
      </c>
      <c r="F63" s="64" t="s">
        <v>116</v>
      </c>
      <c r="G63" s="75">
        <v>0.5</v>
      </c>
      <c r="H63" s="76">
        <v>0.30499999999999999</v>
      </c>
      <c r="I63" s="9"/>
      <c r="J63" s="9"/>
      <c r="K63" s="9">
        <v>55</v>
      </c>
      <c r="L63" s="65">
        <f>AVERAGE(85,86,71,44,63)</f>
        <v>69.8</v>
      </c>
      <c r="M63" s="118" t="s">
        <v>1153</v>
      </c>
      <c r="N63" s="65">
        <f>AVERAGE(120,150,141,156,136)</f>
        <v>140.6</v>
      </c>
      <c r="O63" s="118" t="s">
        <v>1171</v>
      </c>
      <c r="P63" s="9" t="s">
        <v>14</v>
      </c>
      <c r="Q63" s="9" t="s">
        <v>14</v>
      </c>
      <c r="R63" s="9" t="s">
        <v>14</v>
      </c>
      <c r="S63" s="65" t="s">
        <v>14</v>
      </c>
      <c r="T63" s="9" t="s">
        <v>14</v>
      </c>
      <c r="U63" s="50" t="s">
        <v>14</v>
      </c>
    </row>
    <row r="64" spans="1:21" ht="12.6" customHeight="1">
      <c r="A64" s="73" t="s">
        <v>206</v>
      </c>
      <c r="B64" s="73" t="s">
        <v>1093</v>
      </c>
      <c r="C64" s="9">
        <v>55</v>
      </c>
      <c r="D64" s="10">
        <v>1.8</v>
      </c>
      <c r="E64" s="9">
        <f t="shared" si="6"/>
        <v>88</v>
      </c>
      <c r="F64" s="64" t="s">
        <v>116</v>
      </c>
      <c r="G64" s="75">
        <v>0.45</v>
      </c>
      <c r="H64" s="76">
        <v>0.185</v>
      </c>
      <c r="I64" s="9">
        <v>40.4</v>
      </c>
      <c r="J64" s="9">
        <v>63.5</v>
      </c>
      <c r="K64" s="9">
        <v>52</v>
      </c>
      <c r="L64" s="65">
        <f>AVERAGE(40)</f>
        <v>40</v>
      </c>
      <c r="M64" s="118" t="s">
        <v>1171</v>
      </c>
      <c r="N64" s="65">
        <f t="shared" ref="N64" si="7">AVERAGE(0)</f>
        <v>0</v>
      </c>
      <c r="O64" s="118"/>
      <c r="P64" s="9"/>
      <c r="Q64" s="9"/>
      <c r="R64" s="9"/>
      <c r="S64" s="65"/>
      <c r="T64" s="9"/>
      <c r="U64" s="50"/>
    </row>
    <row r="65" spans="1:21" ht="12.6" customHeight="1">
      <c r="A65" s="73" t="s">
        <v>206</v>
      </c>
      <c r="B65" s="73" t="s">
        <v>473</v>
      </c>
      <c r="C65" s="9">
        <v>60</v>
      </c>
      <c r="D65" s="10">
        <v>2.8</v>
      </c>
      <c r="E65" s="9">
        <f t="shared" si="6"/>
        <v>96</v>
      </c>
      <c r="F65" s="64" t="s">
        <v>116</v>
      </c>
      <c r="G65" s="75">
        <v>0.23499999999999999</v>
      </c>
      <c r="H65" s="76">
        <v>0.39500000000000002</v>
      </c>
      <c r="I65" s="9">
        <v>66.349999999999994</v>
      </c>
      <c r="J65" s="9">
        <v>66.400000000000006</v>
      </c>
      <c r="K65" s="9">
        <v>58</v>
      </c>
      <c r="L65" s="65">
        <f>AVERAGE(203,185,210,124,177,244,185,125,240,215,200,183)</f>
        <v>190.91666666666666</v>
      </c>
      <c r="M65" s="118" t="s">
        <v>1091</v>
      </c>
      <c r="N65" s="65">
        <f>AVERAGE(299,200,280,273)</f>
        <v>263</v>
      </c>
      <c r="O65" s="118" t="s">
        <v>628</v>
      </c>
      <c r="P65" s="9">
        <v>204</v>
      </c>
      <c r="Q65" s="9" t="s">
        <v>542</v>
      </c>
      <c r="R65" s="9" t="s">
        <v>31</v>
      </c>
      <c r="S65" s="65" t="s">
        <v>14</v>
      </c>
      <c r="T65" s="9" t="s">
        <v>14</v>
      </c>
      <c r="U65" s="50" t="s">
        <v>14</v>
      </c>
    </row>
    <row r="66" spans="1:21" s="26" customFormat="1" ht="12.6" customHeight="1">
      <c r="A66" s="73" t="s">
        <v>206</v>
      </c>
      <c r="B66" s="73" t="s">
        <v>516</v>
      </c>
      <c r="C66" s="10">
        <v>85</v>
      </c>
      <c r="D66" s="10">
        <v>1.7</v>
      </c>
      <c r="E66" s="9">
        <f t="shared" si="6"/>
        <v>136</v>
      </c>
      <c r="F66" s="74" t="s">
        <v>116</v>
      </c>
      <c r="G66" s="75">
        <v>0.9</v>
      </c>
      <c r="H66" s="76">
        <v>0.5</v>
      </c>
      <c r="I66" s="9" t="s">
        <v>14</v>
      </c>
      <c r="J66" s="9" t="s">
        <v>14</v>
      </c>
      <c r="K66" s="9">
        <v>58</v>
      </c>
      <c r="L66" s="65">
        <f>AVERAGE(493)</f>
        <v>493</v>
      </c>
      <c r="M66" s="118" t="s">
        <v>925</v>
      </c>
      <c r="N66" s="65">
        <f>AVERAGE(0)</f>
        <v>0</v>
      </c>
      <c r="O66" s="118" t="s">
        <v>14</v>
      </c>
      <c r="P66" s="9" t="s">
        <v>14</v>
      </c>
      <c r="Q66" s="25" t="s">
        <v>14</v>
      </c>
      <c r="R66" s="9" t="s">
        <v>14</v>
      </c>
      <c r="S66" s="65" t="s">
        <v>14</v>
      </c>
      <c r="T66" s="25" t="s">
        <v>14</v>
      </c>
      <c r="U66" s="50" t="s">
        <v>14</v>
      </c>
    </row>
    <row r="67" spans="1:21" s="26" customFormat="1" ht="12.6" customHeight="1">
      <c r="A67" s="67" t="s">
        <v>206</v>
      </c>
      <c r="B67" s="67" t="s">
        <v>1082</v>
      </c>
      <c r="C67" s="71">
        <v>85</v>
      </c>
      <c r="D67" s="71">
        <v>2.8</v>
      </c>
      <c r="E67" s="36">
        <f t="shared" si="6"/>
        <v>136</v>
      </c>
      <c r="F67" s="72" t="s">
        <v>116</v>
      </c>
      <c r="G67" s="59">
        <v>0.9</v>
      </c>
      <c r="H67" s="40"/>
      <c r="I67" s="36"/>
      <c r="J67" s="36"/>
      <c r="K67" s="36"/>
      <c r="L67" s="61">
        <f>AVERAGE(109)</f>
        <v>109</v>
      </c>
      <c r="M67" s="168" t="s">
        <v>1118</v>
      </c>
      <c r="N67" s="61">
        <f>AVERAGE(340)</f>
        <v>340</v>
      </c>
      <c r="O67" s="168" t="s">
        <v>1091</v>
      </c>
      <c r="P67" s="36" t="s">
        <v>14</v>
      </c>
      <c r="Q67" s="68" t="s">
        <v>14</v>
      </c>
      <c r="R67" s="36" t="s">
        <v>14</v>
      </c>
      <c r="S67" s="61" t="s">
        <v>14</v>
      </c>
      <c r="T67" s="68" t="s">
        <v>14</v>
      </c>
      <c r="U67" s="52" t="s">
        <v>14</v>
      </c>
    </row>
    <row r="68" spans="1:21" s="26" customFormat="1" ht="12.6" customHeight="1">
      <c r="A68" s="137" t="s">
        <v>1092</v>
      </c>
      <c r="B68" s="130"/>
      <c r="C68" s="43"/>
      <c r="D68" s="131" t="s">
        <v>14</v>
      </c>
      <c r="E68" s="43" t="s">
        <v>14</v>
      </c>
      <c r="F68" s="135" t="s">
        <v>14</v>
      </c>
      <c r="G68" s="138" t="s">
        <v>14</v>
      </c>
      <c r="H68" s="134" t="s">
        <v>14</v>
      </c>
      <c r="I68" s="43" t="s">
        <v>14</v>
      </c>
      <c r="J68" s="43" t="s">
        <v>14</v>
      </c>
      <c r="K68" s="43" t="s">
        <v>14</v>
      </c>
      <c r="L68" s="43" t="s">
        <v>14</v>
      </c>
      <c r="M68" s="43" t="s">
        <v>14</v>
      </c>
      <c r="N68" s="43" t="s">
        <v>14</v>
      </c>
      <c r="O68" s="43" t="s">
        <v>14</v>
      </c>
      <c r="P68" s="43" t="s">
        <v>14</v>
      </c>
      <c r="Q68" s="43" t="s">
        <v>14</v>
      </c>
      <c r="R68" s="43" t="s">
        <v>14</v>
      </c>
      <c r="S68" s="43" t="s">
        <v>14</v>
      </c>
      <c r="T68" s="43" t="s">
        <v>14</v>
      </c>
      <c r="U68" s="43" t="s">
        <v>14</v>
      </c>
    </row>
    <row r="69" spans="1:21" s="26" customFormat="1" ht="12.6" customHeight="1">
      <c r="A69" s="73" t="s">
        <v>172</v>
      </c>
      <c r="B69" s="73" t="s">
        <v>1123</v>
      </c>
      <c r="C69" s="10">
        <v>50</v>
      </c>
      <c r="D69" s="10">
        <v>1.4</v>
      </c>
      <c r="E69" s="9">
        <f>C69*1.6</f>
        <v>80</v>
      </c>
      <c r="F69" s="74" t="s">
        <v>116</v>
      </c>
      <c r="G69" s="75"/>
      <c r="H69" s="76"/>
      <c r="I69" s="9"/>
      <c r="J69" s="9"/>
      <c r="K69" s="9"/>
      <c r="L69" s="65">
        <f>AVERAGE(100)</f>
        <v>100</v>
      </c>
      <c r="M69" s="25" t="s">
        <v>1153</v>
      </c>
      <c r="N69" s="65">
        <f t="shared" ref="N69" si="8">AVERAGE(0)</f>
        <v>0</v>
      </c>
      <c r="O69" s="167"/>
      <c r="P69" s="9"/>
      <c r="Q69" s="25"/>
      <c r="R69" s="9"/>
      <c r="S69" s="65"/>
      <c r="T69" s="25"/>
      <c r="U69" s="50"/>
    </row>
    <row r="70" spans="1:21" s="26" customFormat="1" ht="12.6" customHeight="1">
      <c r="A70" s="73" t="s">
        <v>625</v>
      </c>
      <c r="B70" s="73" t="s">
        <v>1109</v>
      </c>
      <c r="C70" s="10">
        <v>50</v>
      </c>
      <c r="D70" s="10">
        <v>1.4</v>
      </c>
      <c r="E70" s="9">
        <f>C70*1.6</f>
        <v>80</v>
      </c>
      <c r="F70" s="74" t="s">
        <v>116</v>
      </c>
      <c r="G70" s="75"/>
      <c r="H70" s="76"/>
      <c r="I70" s="9"/>
      <c r="J70" s="9"/>
      <c r="K70" s="9"/>
      <c r="L70" s="65">
        <f>AVERAGE(66,79,59,60,56,94,101,79,89,70,99,101)</f>
        <v>79.416666666666671</v>
      </c>
      <c r="M70" s="25" t="s">
        <v>1171</v>
      </c>
      <c r="N70" s="65">
        <f>AVERAGE(106,200,199,101,99,190)</f>
        <v>149.16666666666666</v>
      </c>
      <c r="O70" s="118" t="s">
        <v>1153</v>
      </c>
      <c r="P70" s="9"/>
      <c r="Q70" s="25"/>
      <c r="R70" s="9"/>
      <c r="S70" s="65"/>
      <c r="T70" s="25"/>
      <c r="U70" s="50"/>
    </row>
    <row r="71" spans="1:21" s="26" customFormat="1" ht="12.6" customHeight="1">
      <c r="A71" s="73" t="s">
        <v>1097</v>
      </c>
      <c r="B71" s="73" t="s">
        <v>1078</v>
      </c>
      <c r="C71" s="9">
        <v>50</v>
      </c>
      <c r="D71" s="10">
        <v>1.9</v>
      </c>
      <c r="E71" s="9">
        <f t="shared" ref="E71:E72" si="9">C71*1.6</f>
        <v>80</v>
      </c>
      <c r="F71" s="74" t="s">
        <v>116</v>
      </c>
      <c r="G71" s="75" t="s">
        <v>14</v>
      </c>
      <c r="H71" s="76" t="s">
        <v>14</v>
      </c>
      <c r="I71" s="9" t="s">
        <v>14</v>
      </c>
      <c r="J71" s="9" t="s">
        <v>14</v>
      </c>
      <c r="K71" s="9" t="s">
        <v>14</v>
      </c>
      <c r="L71" s="65">
        <f>AVERAGE(667)</f>
        <v>667</v>
      </c>
      <c r="M71" s="20" t="s">
        <v>1100</v>
      </c>
      <c r="N71" s="65">
        <f>AVERAGE(1158)</f>
        <v>1158</v>
      </c>
      <c r="O71" s="50" t="s">
        <v>1100</v>
      </c>
      <c r="P71" s="9" t="s">
        <v>14</v>
      </c>
      <c r="Q71" s="9" t="s">
        <v>14</v>
      </c>
      <c r="R71" s="25" t="s">
        <v>14</v>
      </c>
      <c r="S71" s="191" t="s">
        <v>14</v>
      </c>
      <c r="T71" s="9" t="s">
        <v>14</v>
      </c>
      <c r="U71" s="118" t="s">
        <v>14</v>
      </c>
    </row>
    <row r="72" spans="1:21" ht="12.6" customHeight="1">
      <c r="A72" s="73" t="s">
        <v>683</v>
      </c>
      <c r="B72" s="73" t="s">
        <v>1125</v>
      </c>
      <c r="C72" s="9">
        <v>50</v>
      </c>
      <c r="D72" s="10">
        <v>1.8</v>
      </c>
      <c r="E72" s="9">
        <f t="shared" si="9"/>
        <v>80</v>
      </c>
      <c r="F72" s="64" t="s">
        <v>116</v>
      </c>
      <c r="G72" s="75">
        <v>0.19500000000000001</v>
      </c>
      <c r="H72" s="76">
        <v>0.33</v>
      </c>
      <c r="I72" s="9">
        <v>39</v>
      </c>
      <c r="J72" s="9">
        <v>64</v>
      </c>
      <c r="K72" s="9">
        <v>49</v>
      </c>
      <c r="L72" s="65">
        <f>AVERAGE(30,39,34,40,49)</f>
        <v>38.4</v>
      </c>
      <c r="M72" s="118" t="s">
        <v>1118</v>
      </c>
      <c r="N72" s="65">
        <f>AVERAGE(66,79,55)</f>
        <v>66.666666666666671</v>
      </c>
      <c r="O72" s="118" t="s">
        <v>1118</v>
      </c>
      <c r="P72" s="9" t="s">
        <v>14</v>
      </c>
      <c r="Q72" s="9" t="s">
        <v>14</v>
      </c>
      <c r="R72" s="9" t="s">
        <v>14</v>
      </c>
      <c r="S72" s="65" t="s">
        <v>14</v>
      </c>
      <c r="T72" s="9" t="s">
        <v>14</v>
      </c>
      <c r="U72" s="50" t="s">
        <v>14</v>
      </c>
    </row>
    <row r="73" spans="1:21" ht="12.6" customHeight="1">
      <c r="A73" s="73" t="s">
        <v>1077</v>
      </c>
      <c r="B73" s="73" t="s">
        <v>1081</v>
      </c>
      <c r="C73" s="9">
        <v>50</v>
      </c>
      <c r="D73" s="10">
        <v>2</v>
      </c>
      <c r="E73" s="9">
        <f>C73*1.6</f>
        <v>80</v>
      </c>
      <c r="F73" s="64" t="s">
        <v>116</v>
      </c>
      <c r="G73" s="75">
        <v>0.5</v>
      </c>
      <c r="H73" s="76">
        <v>0.22500000000000001</v>
      </c>
      <c r="I73" s="9">
        <v>37.1</v>
      </c>
      <c r="J73" s="9">
        <v>59.9</v>
      </c>
      <c r="K73" s="9">
        <v>49</v>
      </c>
      <c r="L73" s="65">
        <f>AVERAGE(348,349,229)</f>
        <v>308.66666666666669</v>
      </c>
      <c r="M73" s="118" t="s">
        <v>1153</v>
      </c>
      <c r="N73" s="65">
        <f>AVERAGE(349,350)</f>
        <v>349.5</v>
      </c>
      <c r="O73" s="118" t="s">
        <v>1171</v>
      </c>
      <c r="P73" s="9">
        <f>399*CA.US</f>
        <v>303.24</v>
      </c>
      <c r="Q73" s="9" t="s">
        <v>1091</v>
      </c>
      <c r="R73" s="9" t="s">
        <v>537</v>
      </c>
      <c r="S73" s="65" t="s">
        <v>14</v>
      </c>
      <c r="T73" s="9" t="s">
        <v>14</v>
      </c>
      <c r="U73" s="50" t="s">
        <v>14</v>
      </c>
    </row>
    <row r="74" spans="1:21" ht="12.6" customHeight="1">
      <c r="A74" s="67" t="s">
        <v>1094</v>
      </c>
      <c r="B74" s="67" t="s">
        <v>1095</v>
      </c>
      <c r="C74" s="36">
        <v>50</v>
      </c>
      <c r="D74" s="71">
        <v>2.9</v>
      </c>
      <c r="E74" s="36">
        <v>80</v>
      </c>
      <c r="F74" s="69" t="s">
        <v>116</v>
      </c>
      <c r="G74" s="59">
        <v>0.75</v>
      </c>
      <c r="H74" s="40">
        <v>0.11</v>
      </c>
      <c r="I74" s="36">
        <v>15</v>
      </c>
      <c r="J74" s="36">
        <v>48.6</v>
      </c>
      <c r="K74" s="71" t="s">
        <v>29</v>
      </c>
      <c r="L74" s="61">
        <f>AVERAGE(44)</f>
        <v>44</v>
      </c>
      <c r="M74" s="52" t="s">
        <v>1153</v>
      </c>
      <c r="N74" s="61">
        <f t="shared" ref="N74" si="10">AVERAGE(0)</f>
        <v>0</v>
      </c>
      <c r="O74" s="52"/>
      <c r="P74" s="36"/>
      <c r="Q74" s="36"/>
      <c r="R74" s="52"/>
      <c r="S74" s="61"/>
      <c r="T74" s="36"/>
      <c r="U74" s="52"/>
    </row>
    <row r="75" spans="1:21" s="26" customFormat="1" ht="12.6" customHeight="1">
      <c r="A75" s="73" t="s">
        <v>169</v>
      </c>
      <c r="B75" s="73" t="s">
        <v>1178</v>
      </c>
      <c r="C75" s="10">
        <v>55</v>
      </c>
      <c r="D75" s="10">
        <v>1.2</v>
      </c>
      <c r="E75" s="9">
        <f t="shared" ref="E75" si="11">C75*1.6</f>
        <v>88</v>
      </c>
      <c r="F75" s="74" t="s">
        <v>116</v>
      </c>
      <c r="G75" s="75" t="s">
        <v>14</v>
      </c>
      <c r="H75" s="76" t="s">
        <v>14</v>
      </c>
      <c r="I75" s="9" t="s">
        <v>14</v>
      </c>
      <c r="J75" s="9" t="s">
        <v>14</v>
      </c>
      <c r="K75" s="9" t="s">
        <v>14</v>
      </c>
      <c r="L75" s="65">
        <f>AVERAGE(620,550,413)</f>
        <v>527.66666666666663</v>
      </c>
      <c r="M75" s="118" t="s">
        <v>1171</v>
      </c>
      <c r="N75" s="65">
        <f>AVERAGE(945,1100,820)</f>
        <v>955</v>
      </c>
      <c r="O75" s="118" t="s">
        <v>1153</v>
      </c>
      <c r="P75" s="9" t="s">
        <v>14</v>
      </c>
      <c r="Q75" s="25" t="s">
        <v>14</v>
      </c>
      <c r="R75" s="9" t="s">
        <v>14</v>
      </c>
      <c r="S75" s="65">
        <v>1100</v>
      </c>
      <c r="T75" s="25" t="s">
        <v>1118</v>
      </c>
      <c r="U75" s="50" t="s">
        <v>400</v>
      </c>
    </row>
    <row r="76" spans="1:21" s="26" customFormat="1" ht="12.6" customHeight="1">
      <c r="A76" s="67" t="s">
        <v>169</v>
      </c>
      <c r="B76" s="67" t="s">
        <v>134</v>
      </c>
      <c r="C76" s="71">
        <v>60</v>
      </c>
      <c r="D76" s="71">
        <v>2.8</v>
      </c>
      <c r="E76" s="36">
        <f>C76*1.6</f>
        <v>96</v>
      </c>
      <c r="F76" s="72" t="s">
        <v>116</v>
      </c>
      <c r="G76" s="59" t="s">
        <v>14</v>
      </c>
      <c r="H76" s="40" t="s">
        <v>14</v>
      </c>
      <c r="I76" s="36" t="s">
        <v>14</v>
      </c>
      <c r="J76" s="36" t="s">
        <v>14</v>
      </c>
      <c r="K76" s="36" t="s">
        <v>14</v>
      </c>
      <c r="L76" s="61">
        <f>AVERAGE(180,236,305,339,300,315)</f>
        <v>279.16666666666669</v>
      </c>
      <c r="M76" s="168" t="s">
        <v>1118</v>
      </c>
      <c r="N76" s="61">
        <f>AVERAGE(350,495)</f>
        <v>422.5</v>
      </c>
      <c r="O76" s="168" t="s">
        <v>1110</v>
      </c>
      <c r="P76" s="36" t="s">
        <v>14</v>
      </c>
      <c r="Q76" s="68" t="s">
        <v>14</v>
      </c>
      <c r="R76" s="36" t="s">
        <v>14</v>
      </c>
      <c r="S76" s="61" t="s">
        <v>14</v>
      </c>
      <c r="T76" s="68" t="s">
        <v>14</v>
      </c>
      <c r="U76" s="52" t="s">
        <v>14</v>
      </c>
    </row>
    <row r="77" spans="1:21" ht="12.6" customHeight="1">
      <c r="A77" s="73" t="s">
        <v>644</v>
      </c>
      <c r="B77" s="73" t="s">
        <v>827</v>
      </c>
      <c r="C77" s="9">
        <v>58</v>
      </c>
      <c r="D77" s="10">
        <v>1.9</v>
      </c>
      <c r="E77" s="9">
        <f>C77*1.6</f>
        <v>92.800000000000011</v>
      </c>
      <c r="F77" s="64" t="s">
        <v>116</v>
      </c>
      <c r="G77" s="75">
        <f>2.5*0.3048</f>
        <v>0.76200000000000001</v>
      </c>
      <c r="H77" s="76">
        <v>0.12</v>
      </c>
      <c r="I77" s="9">
        <v>34</v>
      </c>
      <c r="J77" s="9">
        <v>51.4</v>
      </c>
      <c r="K77" s="9">
        <v>39</v>
      </c>
      <c r="L77" s="65">
        <f>AVERAGE(450,349,325,305,330,329)</f>
        <v>348</v>
      </c>
      <c r="M77" s="118" t="s">
        <v>1171</v>
      </c>
      <c r="N77" s="65">
        <f>AVERAGE(599,450,407)</f>
        <v>485.33333333333331</v>
      </c>
      <c r="O77" s="118" t="s">
        <v>1171</v>
      </c>
      <c r="P77" s="9" t="s">
        <v>14</v>
      </c>
      <c r="Q77" s="9" t="s">
        <v>14</v>
      </c>
      <c r="R77" s="9" t="s">
        <v>14</v>
      </c>
      <c r="S77" s="65" t="s">
        <v>14</v>
      </c>
      <c r="T77" s="9" t="s">
        <v>14</v>
      </c>
      <c r="U77" s="50" t="s">
        <v>14</v>
      </c>
    </row>
    <row r="78" spans="1:21" s="26" customFormat="1" ht="12.6" customHeight="1">
      <c r="A78" s="73" t="s">
        <v>644</v>
      </c>
      <c r="B78" s="73" t="s">
        <v>828</v>
      </c>
      <c r="C78" s="9">
        <v>75</v>
      </c>
      <c r="D78" s="10">
        <v>1.9</v>
      </c>
      <c r="E78" s="9">
        <f>C78*1.6</f>
        <v>120</v>
      </c>
      <c r="F78" s="74" t="s">
        <v>116</v>
      </c>
      <c r="G78" s="75">
        <v>1</v>
      </c>
      <c r="H78" s="76">
        <v>0.249</v>
      </c>
      <c r="I78" s="9">
        <v>65</v>
      </c>
      <c r="J78" s="9">
        <v>55</v>
      </c>
      <c r="K78" s="50" t="s">
        <v>14</v>
      </c>
      <c r="L78" s="65">
        <f>AVERAGE(1100,1282,1123,1025)</f>
        <v>1132.5</v>
      </c>
      <c r="M78" s="20" t="s">
        <v>1171</v>
      </c>
      <c r="N78" s="65">
        <f>AVERAGE(1328,1350,1813,1790,1900)</f>
        <v>1636.2</v>
      </c>
      <c r="O78" s="50" t="s">
        <v>1204</v>
      </c>
      <c r="P78" s="9" t="s">
        <v>14</v>
      </c>
      <c r="Q78" s="9" t="s">
        <v>14</v>
      </c>
      <c r="R78" s="118" t="s">
        <v>14</v>
      </c>
      <c r="S78" s="191" t="s">
        <v>14</v>
      </c>
      <c r="T78" s="9" t="s">
        <v>14</v>
      </c>
      <c r="U78" s="118" t="s">
        <v>14</v>
      </c>
    </row>
    <row r="79" spans="1:21" ht="12.6" customHeight="1">
      <c r="A79" s="67" t="s">
        <v>644</v>
      </c>
      <c r="B79" s="67" t="s">
        <v>1126</v>
      </c>
      <c r="C79" s="36">
        <v>100</v>
      </c>
      <c r="D79" s="71">
        <v>2.8</v>
      </c>
      <c r="E79" s="36">
        <f>C79*1.6</f>
        <v>160</v>
      </c>
      <c r="F79" s="69" t="s">
        <v>116</v>
      </c>
      <c r="G79" s="59">
        <v>1.05</v>
      </c>
      <c r="H79" s="40">
        <v>0.27</v>
      </c>
      <c r="I79" s="36">
        <v>102</v>
      </c>
      <c r="J79" s="36" t="s">
        <v>14</v>
      </c>
      <c r="K79" s="36">
        <v>49</v>
      </c>
      <c r="L79" s="61">
        <f>AVERAGE(420,391,421,434,455,500,400,485,499,470,429)</f>
        <v>445.81818181818181</v>
      </c>
      <c r="M79" s="52" t="s">
        <v>1171</v>
      </c>
      <c r="N79" s="61">
        <f>AVERAGE(600,710,629,715,750)</f>
        <v>680.8</v>
      </c>
      <c r="O79" s="52" t="s">
        <v>1153</v>
      </c>
      <c r="P79" s="36" t="s">
        <v>14</v>
      </c>
      <c r="Q79" s="36" t="s">
        <v>14</v>
      </c>
      <c r="R79" s="183" t="s">
        <v>14</v>
      </c>
      <c r="S79" s="194" t="s">
        <v>14</v>
      </c>
      <c r="T79" s="36" t="s">
        <v>14</v>
      </c>
      <c r="U79" s="183" t="s">
        <v>14</v>
      </c>
    </row>
  </sheetData>
  <sheetProtection password="990B" sheet="1" objects="1" scenarios="1"/>
  <pageMargins left="0.31496062992125984" right="0" top="0.51181102362204722" bottom="0" header="0.59055118110236227" footer="0.51181102362204722"/>
  <pageSetup orientation="landscape" r:id="rId1"/>
  <headerFooter alignWithMargins="0">
    <oddHeader>&amp;R&amp;9(&amp;P of &amp;N)</oddHeader>
  </headerFooter>
  <rowBreaks count="1" manualBreakCount="1">
    <brk id="4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U42"/>
  <sheetViews>
    <sheetView zoomScaleNormal="100" workbookViewId="0"/>
  </sheetViews>
  <sheetFormatPr defaultColWidth="9.140625" defaultRowHeight="12.6" customHeight="1"/>
  <cols>
    <col min="1" max="1" width="8.140625" style="63" customWidth="1"/>
    <col min="2" max="2" width="23.85546875" style="63" customWidth="1"/>
    <col min="3" max="3" width="6.42578125" style="20" customWidth="1"/>
    <col min="4" max="4" width="4.7109375" style="142" customWidth="1"/>
    <col min="5" max="5" width="5.28515625" style="20" customWidth="1"/>
    <col min="6" max="6" width="4.7109375" style="21" customWidth="1"/>
    <col min="7" max="7" width="4.7109375" style="34" customWidth="1"/>
    <col min="8" max="8" width="4.7109375" style="35" customWidth="1"/>
    <col min="9" max="10" width="4.7109375" style="20" customWidth="1"/>
    <col min="11" max="11" width="5.7109375" style="20" customWidth="1"/>
    <col min="12" max="17" width="5.28515625" style="20" customWidth="1"/>
    <col min="18" max="18" width="6.42578125" style="20" customWidth="1"/>
    <col min="19" max="20" width="5.28515625" style="20" customWidth="1"/>
    <col min="21" max="21" width="6.42578125" style="20" customWidth="1"/>
    <col min="22" max="16384" width="9.140625" style="14"/>
  </cols>
  <sheetData>
    <row r="1" spans="1:21" s="26" customFormat="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R1" s="106" t="str">
        <f>i!B3</f>
        <v>.2018-09-01</v>
      </c>
      <c r="S1" s="9"/>
      <c r="T1" s="25" t="s">
        <v>14</v>
      </c>
      <c r="U1" s="9" t="s">
        <v>14</v>
      </c>
    </row>
    <row r="2" spans="1:21" ht="12.6" customHeight="1">
      <c r="A2" s="26" t="str">
        <f>i!A3</f>
        <v>v.34</v>
      </c>
      <c r="F2" s="25"/>
      <c r="G2" s="47"/>
      <c r="H2" s="76"/>
      <c r="I2" s="9"/>
      <c r="J2" s="46"/>
      <c r="K2" s="9"/>
      <c r="L2" s="9"/>
      <c r="M2" s="10"/>
      <c r="N2" s="36"/>
      <c r="O2" s="10"/>
      <c r="P2" s="36"/>
      <c r="Q2" s="10"/>
      <c r="R2" s="36"/>
      <c r="S2" s="36"/>
      <c r="T2" s="10"/>
      <c r="U2" s="53"/>
    </row>
    <row r="3" spans="1:21" s="24" customFormat="1" ht="12.6" customHeight="1">
      <c r="A3" s="26" t="s">
        <v>14</v>
      </c>
      <c r="B3" s="24" t="s">
        <v>14</v>
      </c>
      <c r="C3" s="37" t="s">
        <v>14</v>
      </c>
      <c r="D3" s="119" t="s">
        <v>14</v>
      </c>
      <c r="E3" s="37" t="s">
        <v>14</v>
      </c>
      <c r="F3" s="143" t="s">
        <v>14</v>
      </c>
      <c r="G3" s="39" t="s">
        <v>14</v>
      </c>
      <c r="H3" s="39" t="s">
        <v>14</v>
      </c>
      <c r="I3" s="39" t="s">
        <v>14</v>
      </c>
      <c r="J3" s="36" t="s">
        <v>14</v>
      </c>
      <c r="K3" s="39" t="s">
        <v>14</v>
      </c>
      <c r="L3" s="144" t="s">
        <v>14</v>
      </c>
      <c r="M3" s="43" t="s">
        <v>14</v>
      </c>
      <c r="N3" s="43" t="s">
        <v>15</v>
      </c>
      <c r="O3" s="43" t="s">
        <v>14</v>
      </c>
      <c r="P3" s="145" t="s">
        <v>14</v>
      </c>
      <c r="Q3" s="125" t="s">
        <v>14</v>
      </c>
      <c r="R3" s="188" t="s">
        <v>16</v>
      </c>
      <c r="S3" s="43"/>
      <c r="T3" s="43" t="s">
        <v>14</v>
      </c>
      <c r="U3" s="45" t="s">
        <v>14</v>
      </c>
    </row>
    <row r="4" spans="1:21" s="26" customFormat="1" ht="12.6" customHeight="1">
      <c r="A4" s="24" t="s">
        <v>297</v>
      </c>
      <c r="B4" s="24"/>
      <c r="C4" s="9" t="s">
        <v>4</v>
      </c>
      <c r="D4" s="10" t="s">
        <v>9</v>
      </c>
      <c r="E4" s="25" t="s">
        <v>636</v>
      </c>
      <c r="F4" s="123" t="s">
        <v>11</v>
      </c>
      <c r="G4" s="48" t="s">
        <v>264</v>
      </c>
      <c r="H4" s="76" t="s">
        <v>5</v>
      </c>
      <c r="I4" s="9" t="s">
        <v>298</v>
      </c>
      <c r="J4" s="9" t="s">
        <v>299</v>
      </c>
      <c r="K4" s="50" t="s">
        <v>300</v>
      </c>
      <c r="L4" s="51" t="s">
        <v>450</v>
      </c>
      <c r="M4" s="52"/>
      <c r="N4" s="53" t="s">
        <v>17</v>
      </c>
      <c r="O4" s="36"/>
      <c r="P4" s="147"/>
      <c r="Q4" s="43" t="s">
        <v>451</v>
      </c>
      <c r="R4" s="62"/>
      <c r="S4" s="121"/>
      <c r="T4" s="50" t="s">
        <v>7</v>
      </c>
      <c r="U4" s="50"/>
    </row>
    <row r="5" spans="1:21" s="26" customFormat="1" ht="12.6" customHeight="1">
      <c r="A5" s="57" t="s">
        <v>14</v>
      </c>
      <c r="B5" s="57" t="s">
        <v>14</v>
      </c>
      <c r="C5" s="36" t="s">
        <v>18</v>
      </c>
      <c r="D5" s="71" t="s">
        <v>14</v>
      </c>
      <c r="E5" s="36"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6" customFormat="1" ht="12.6" customHeight="1">
      <c r="A6" s="137" t="s">
        <v>315</v>
      </c>
      <c r="B6" s="130"/>
      <c r="C6" s="43" t="s">
        <v>14</v>
      </c>
      <c r="D6" s="131" t="s">
        <v>14</v>
      </c>
      <c r="E6" s="43" t="s">
        <v>14</v>
      </c>
      <c r="F6" s="135"/>
      <c r="G6" s="138"/>
      <c r="H6" s="134"/>
      <c r="I6" s="43"/>
      <c r="J6" s="43"/>
      <c r="K6" s="43"/>
      <c r="L6" s="43"/>
      <c r="M6" s="43"/>
      <c r="N6" s="43"/>
      <c r="O6" s="43"/>
      <c r="P6" s="43"/>
      <c r="Q6" s="43"/>
      <c r="R6" s="43"/>
      <c r="S6" s="43"/>
      <c r="T6" s="43"/>
      <c r="U6" s="43"/>
    </row>
    <row r="7" spans="1:21" ht="12.6" customHeight="1">
      <c r="A7" s="63" t="s">
        <v>206</v>
      </c>
      <c r="B7" s="63" t="s">
        <v>262</v>
      </c>
      <c r="C7" s="20">
        <v>24</v>
      </c>
      <c r="D7" s="142" t="s">
        <v>121</v>
      </c>
      <c r="E7" s="50">
        <f t="shared" ref="E7:E26" si="0">1.6*C7</f>
        <v>38.400000000000006</v>
      </c>
      <c r="F7" s="64" t="s">
        <v>205</v>
      </c>
      <c r="G7" s="34">
        <v>0.3</v>
      </c>
      <c r="H7" s="35">
        <v>0.78500000000000003</v>
      </c>
      <c r="I7" s="20">
        <v>82</v>
      </c>
      <c r="J7" s="20">
        <v>100</v>
      </c>
      <c r="K7" s="50" t="s">
        <v>123</v>
      </c>
      <c r="L7" s="65">
        <f>AVERAGE(689,358,587,750,520,697,500)</f>
        <v>585.85714285714289</v>
      </c>
      <c r="M7" s="66" t="s">
        <v>918</v>
      </c>
      <c r="N7" s="65">
        <f>AVERAGE(1150,999,940,950)</f>
        <v>1009.75</v>
      </c>
      <c r="O7" s="66" t="s">
        <v>1171</v>
      </c>
      <c r="P7" s="65">
        <v>1169</v>
      </c>
      <c r="Q7" s="9" t="s">
        <v>681</v>
      </c>
      <c r="R7" s="50" t="s">
        <v>28</v>
      </c>
      <c r="S7" s="136">
        <v>1480</v>
      </c>
      <c r="T7" s="9" t="s">
        <v>612</v>
      </c>
      <c r="U7" s="50" t="s">
        <v>28</v>
      </c>
    </row>
    <row r="8" spans="1:21" s="26" customFormat="1" ht="12.6" customHeight="1">
      <c r="A8" s="73" t="s">
        <v>206</v>
      </c>
      <c r="B8" s="46" t="s">
        <v>232</v>
      </c>
      <c r="C8" s="9">
        <v>35</v>
      </c>
      <c r="D8" s="10">
        <v>3.5</v>
      </c>
      <c r="E8" s="50">
        <f t="shared" si="0"/>
        <v>56</v>
      </c>
      <c r="F8" s="9" t="s">
        <v>205</v>
      </c>
      <c r="G8" s="75">
        <v>0.45</v>
      </c>
      <c r="H8" s="76">
        <v>0.44500000000000001</v>
      </c>
      <c r="I8" s="9">
        <v>61</v>
      </c>
      <c r="J8" s="9">
        <v>80</v>
      </c>
      <c r="K8" s="10">
        <v>77</v>
      </c>
      <c r="L8" s="65">
        <f>AVERAGE(220,210,139,230,219,219,220,225,198,245)</f>
        <v>212.5</v>
      </c>
      <c r="M8" s="25" t="s">
        <v>1153</v>
      </c>
      <c r="N8" s="65">
        <f>AVERAGE(400,370,330,370,330,324,350,405,329)</f>
        <v>356.44444444444446</v>
      </c>
      <c r="O8" s="118" t="s">
        <v>1153</v>
      </c>
      <c r="P8" s="65">
        <v>328</v>
      </c>
      <c r="Q8" s="25" t="s">
        <v>1153</v>
      </c>
      <c r="R8" s="50" t="s">
        <v>28</v>
      </c>
      <c r="S8" s="65">
        <v>225</v>
      </c>
      <c r="T8" s="25" t="s">
        <v>723</v>
      </c>
      <c r="U8" s="50" t="s">
        <v>26</v>
      </c>
    </row>
    <row r="9" spans="1:21" ht="12.6" customHeight="1">
      <c r="A9" s="63" t="s">
        <v>206</v>
      </c>
      <c r="B9" s="63" t="s">
        <v>233</v>
      </c>
      <c r="C9" s="20">
        <v>45</v>
      </c>
      <c r="D9" s="142" t="s">
        <v>144</v>
      </c>
      <c r="E9" s="50">
        <f t="shared" si="0"/>
        <v>72</v>
      </c>
      <c r="F9" s="64" t="s">
        <v>205</v>
      </c>
      <c r="G9" s="34">
        <v>0.45</v>
      </c>
      <c r="H9" s="35">
        <v>0.47499999999999998</v>
      </c>
      <c r="I9" s="20">
        <v>70</v>
      </c>
      <c r="J9" s="20">
        <v>70.5</v>
      </c>
      <c r="K9" s="50">
        <v>67</v>
      </c>
      <c r="L9" s="65">
        <f>AVERAGE(138,123,169,110,149,120,164,144,128,125,149,110,149,143,110,132)</f>
        <v>135.1875</v>
      </c>
      <c r="M9" s="66" t="s">
        <v>1171</v>
      </c>
      <c r="N9" s="65">
        <f>AVERAGE(200,150,180,180,187,170,200,179,179,175,199,183)</f>
        <v>181.83333333333334</v>
      </c>
      <c r="O9" s="66" t="s">
        <v>1171</v>
      </c>
      <c r="P9" s="65">
        <v>220</v>
      </c>
      <c r="Q9" s="9" t="s">
        <v>1153</v>
      </c>
      <c r="R9" s="50" t="s">
        <v>28</v>
      </c>
      <c r="S9" s="65">
        <v>380</v>
      </c>
      <c r="T9" s="9" t="s">
        <v>577</v>
      </c>
      <c r="U9" s="50" t="s">
        <v>30</v>
      </c>
    </row>
    <row r="10" spans="1:21" ht="12.6" customHeight="1">
      <c r="A10" s="63" t="s">
        <v>206</v>
      </c>
      <c r="B10" s="63" t="s">
        <v>234</v>
      </c>
      <c r="C10" s="20">
        <v>50</v>
      </c>
      <c r="D10" s="142">
        <v>4</v>
      </c>
      <c r="E10" s="50">
        <f t="shared" si="0"/>
        <v>80</v>
      </c>
      <c r="F10" s="64" t="s">
        <v>205</v>
      </c>
      <c r="G10" s="34">
        <v>0.45</v>
      </c>
      <c r="H10" s="35">
        <v>0.73499999999999999</v>
      </c>
      <c r="I10" s="20">
        <v>105</v>
      </c>
      <c r="J10" s="20">
        <v>80</v>
      </c>
      <c r="K10" s="50">
        <v>77</v>
      </c>
      <c r="L10" s="65">
        <f>AVERAGE(329,389,300,400,400,397,360,400,400,400,438,340)</f>
        <v>379.41666666666669</v>
      </c>
      <c r="M10" s="66" t="s">
        <v>1171</v>
      </c>
      <c r="N10" s="65">
        <f>AVERAGE(430,500,432,439,475,550)</f>
        <v>471</v>
      </c>
      <c r="O10" s="66" t="s">
        <v>1171</v>
      </c>
      <c r="P10" s="65">
        <v>300</v>
      </c>
      <c r="Q10" s="9" t="s">
        <v>1153</v>
      </c>
      <c r="R10" s="50" t="s">
        <v>948</v>
      </c>
      <c r="S10" s="65">
        <v>600</v>
      </c>
      <c r="T10" s="9" t="s">
        <v>619</v>
      </c>
      <c r="U10" s="50" t="s">
        <v>30</v>
      </c>
    </row>
    <row r="11" spans="1:21" ht="12.6" customHeight="1">
      <c r="A11" s="63" t="s">
        <v>206</v>
      </c>
      <c r="B11" s="63" t="s">
        <v>235</v>
      </c>
      <c r="C11" s="20">
        <v>55</v>
      </c>
      <c r="D11" s="142" t="s">
        <v>144</v>
      </c>
      <c r="E11" s="50">
        <f t="shared" si="0"/>
        <v>88</v>
      </c>
      <c r="F11" s="64" t="s">
        <v>205</v>
      </c>
      <c r="G11" s="34">
        <v>0.45</v>
      </c>
      <c r="H11" s="35">
        <v>0.30499999999999999</v>
      </c>
      <c r="I11" s="20">
        <v>59</v>
      </c>
      <c r="J11" s="20">
        <v>70</v>
      </c>
      <c r="K11" s="50">
        <v>58</v>
      </c>
      <c r="L11" s="65">
        <f>AVERAGE(129,125,132,130,125,122,138,132,129,128,146,125,120)</f>
        <v>129.30769230769232</v>
      </c>
      <c r="M11" s="66" t="s">
        <v>1153</v>
      </c>
      <c r="N11" s="65">
        <f>AVERAGE(200,170,169,179,165,170,189,150,162,172,189,170,175)</f>
        <v>173.84615384615384</v>
      </c>
      <c r="O11" s="66" t="s">
        <v>1153</v>
      </c>
      <c r="P11" s="65">
        <v>133</v>
      </c>
      <c r="Q11" s="9" t="s">
        <v>723</v>
      </c>
      <c r="R11" s="50" t="s">
        <v>28</v>
      </c>
      <c r="S11" s="65">
        <v>170</v>
      </c>
      <c r="T11" s="9" t="s">
        <v>723</v>
      </c>
      <c r="U11" s="50" t="s">
        <v>30</v>
      </c>
    </row>
    <row r="12" spans="1:21" ht="12.6" customHeight="1">
      <c r="A12" s="63" t="s">
        <v>206</v>
      </c>
      <c r="B12" s="63" t="s">
        <v>244</v>
      </c>
      <c r="C12" s="20">
        <v>80</v>
      </c>
      <c r="D12" s="142" t="s">
        <v>208</v>
      </c>
      <c r="E12" s="50">
        <f>1.6*C12</f>
        <v>128</v>
      </c>
      <c r="F12" s="64" t="s">
        <v>205</v>
      </c>
      <c r="G12" s="34">
        <v>0.7</v>
      </c>
      <c r="H12" s="35">
        <v>0.42</v>
      </c>
      <c r="I12" s="20">
        <v>59</v>
      </c>
      <c r="J12" s="20">
        <v>75.5</v>
      </c>
      <c r="K12" s="50">
        <v>67</v>
      </c>
      <c r="L12" s="65">
        <f>AVERAGE(290,233,200,275,280,209,181,228,199,200,238)</f>
        <v>230.27272727272728</v>
      </c>
      <c r="M12" s="66" t="s">
        <v>1171</v>
      </c>
      <c r="N12" s="65">
        <f>AVERAGE(350,366,330,275,350,270,370,400,380,385,330)</f>
        <v>346</v>
      </c>
      <c r="O12" s="66" t="s">
        <v>1171</v>
      </c>
      <c r="P12" s="65">
        <v>500</v>
      </c>
      <c r="Q12" s="9" t="s">
        <v>1153</v>
      </c>
      <c r="R12" s="50" t="s">
        <v>28</v>
      </c>
      <c r="S12" s="65"/>
      <c r="T12" s="9"/>
      <c r="U12" s="50"/>
    </row>
    <row r="13" spans="1:21" ht="12.6" customHeight="1">
      <c r="A13" s="63" t="s">
        <v>206</v>
      </c>
      <c r="B13" s="63" t="s">
        <v>263</v>
      </c>
      <c r="C13" s="20">
        <v>80</v>
      </c>
      <c r="D13" s="142" t="s">
        <v>208</v>
      </c>
      <c r="E13" s="50">
        <f t="shared" si="0"/>
        <v>128</v>
      </c>
      <c r="F13" s="64" t="s">
        <v>205</v>
      </c>
      <c r="K13" s="50"/>
      <c r="L13" s="65">
        <f>AVERAGE(210,335,208,218,170,170,257,190,199)</f>
        <v>217.44444444444446</v>
      </c>
      <c r="M13" s="66" t="s">
        <v>1171</v>
      </c>
      <c r="N13" s="65">
        <f>AVERAGE(350,450,430,360,425,390,390,350,389)</f>
        <v>392.66666666666669</v>
      </c>
      <c r="O13" s="66" t="s">
        <v>1171</v>
      </c>
      <c r="P13" s="65">
        <v>450</v>
      </c>
      <c r="Q13" s="9" t="s">
        <v>723</v>
      </c>
      <c r="R13" s="50" t="s">
        <v>28</v>
      </c>
      <c r="S13" s="65"/>
      <c r="T13" s="9"/>
      <c r="U13" s="50"/>
    </row>
    <row r="14" spans="1:21" ht="12.6" customHeight="1">
      <c r="A14" s="63" t="s">
        <v>206</v>
      </c>
      <c r="B14" s="63" t="s">
        <v>236</v>
      </c>
      <c r="C14" s="20">
        <v>80</v>
      </c>
      <c r="D14" s="142" t="s">
        <v>144</v>
      </c>
      <c r="E14" s="50">
        <f t="shared" si="0"/>
        <v>128</v>
      </c>
      <c r="F14" s="64" t="s">
        <v>205</v>
      </c>
      <c r="G14" s="34">
        <v>0.7</v>
      </c>
      <c r="H14" s="35">
        <v>0.22</v>
      </c>
      <c r="I14" s="20">
        <v>43</v>
      </c>
      <c r="J14" s="20">
        <v>70</v>
      </c>
      <c r="K14" s="50">
        <v>58</v>
      </c>
      <c r="L14" s="65">
        <f>AVERAGE(80,90,100,108,105,76,119,92,108,109,108,100,89)</f>
        <v>98.769230769230774</v>
      </c>
      <c r="M14" s="66" t="s">
        <v>1153</v>
      </c>
      <c r="N14" s="65">
        <f>AVERAGE(150,146,150,135,149,126,140,148,190,170,149,119)</f>
        <v>147.66666666666666</v>
      </c>
      <c r="O14" s="66" t="s">
        <v>1153</v>
      </c>
      <c r="P14" s="65">
        <v>90</v>
      </c>
      <c r="Q14" s="9" t="s">
        <v>723</v>
      </c>
      <c r="R14" s="50" t="s">
        <v>28</v>
      </c>
      <c r="S14" s="65">
        <v>120</v>
      </c>
      <c r="T14" s="9" t="s">
        <v>681</v>
      </c>
      <c r="U14" s="50" t="s">
        <v>28</v>
      </c>
    </row>
    <row r="15" spans="1:21" ht="11.25">
      <c r="A15" s="63" t="s">
        <v>206</v>
      </c>
      <c r="B15" s="63" t="s">
        <v>237</v>
      </c>
      <c r="C15" s="20">
        <v>80</v>
      </c>
      <c r="D15" s="142" t="s">
        <v>121</v>
      </c>
      <c r="E15" s="50">
        <f t="shared" si="0"/>
        <v>128</v>
      </c>
      <c r="F15" s="64" t="s">
        <v>205</v>
      </c>
      <c r="G15" s="34">
        <v>0.37</v>
      </c>
      <c r="H15" s="35">
        <v>0.58499999999999996</v>
      </c>
      <c r="I15" s="20">
        <v>75</v>
      </c>
      <c r="J15" s="20">
        <v>79</v>
      </c>
      <c r="K15" s="50">
        <v>67</v>
      </c>
      <c r="L15" s="65">
        <f>AVERAGE(98,130,130,149,128,150,130,117,124,110,148,165)</f>
        <v>131.58333333333334</v>
      </c>
      <c r="M15" s="66" t="s">
        <v>1153</v>
      </c>
      <c r="N15" s="65">
        <f>AVERAGE(170,208,200,207,200,197,190)</f>
        <v>196</v>
      </c>
      <c r="O15" s="66" t="s">
        <v>1153</v>
      </c>
      <c r="P15" s="65">
        <v>220</v>
      </c>
      <c r="Q15" s="9" t="s">
        <v>1153</v>
      </c>
      <c r="R15" s="50" t="s">
        <v>28</v>
      </c>
      <c r="S15" s="65">
        <v>275</v>
      </c>
      <c r="T15" s="9" t="s">
        <v>670</v>
      </c>
      <c r="U15" s="50" t="s">
        <v>26</v>
      </c>
    </row>
    <row r="16" spans="1:21" ht="11.25">
      <c r="A16" s="63" t="s">
        <v>206</v>
      </c>
      <c r="B16" s="63" t="s">
        <v>538</v>
      </c>
      <c r="C16" s="20">
        <v>110</v>
      </c>
      <c r="D16" s="142" t="s">
        <v>144</v>
      </c>
      <c r="E16" s="50">
        <f t="shared" si="0"/>
        <v>176</v>
      </c>
      <c r="F16" s="64" t="s">
        <v>205</v>
      </c>
      <c r="G16" s="34">
        <v>1.2</v>
      </c>
      <c r="H16" s="35">
        <v>0.39</v>
      </c>
      <c r="I16" s="20">
        <v>60</v>
      </c>
      <c r="J16" s="20">
        <v>70</v>
      </c>
      <c r="K16" s="50">
        <v>58</v>
      </c>
      <c r="L16" s="65">
        <f>AVERAGE(178,179,179,140,125,125,117,130,120)</f>
        <v>143.66666666666666</v>
      </c>
      <c r="M16" s="66" t="s">
        <v>1153</v>
      </c>
      <c r="N16" s="65">
        <f>AVERAGE(250,250,240,220,200,190,180,175,232,239,179)</f>
        <v>214.09090909090909</v>
      </c>
      <c r="O16" s="66" t="s">
        <v>1153</v>
      </c>
      <c r="P16" s="65">
        <v>110</v>
      </c>
      <c r="Q16" s="9" t="s">
        <v>674</v>
      </c>
      <c r="R16" s="50" t="s">
        <v>28</v>
      </c>
      <c r="S16" s="65">
        <v>150</v>
      </c>
      <c r="T16" s="9" t="s">
        <v>723</v>
      </c>
      <c r="U16" s="50" t="s">
        <v>30</v>
      </c>
    </row>
    <row r="17" spans="1:21" s="26" customFormat="1" ht="12.6" customHeight="1">
      <c r="A17" s="73" t="s">
        <v>206</v>
      </c>
      <c r="B17" s="46" t="s">
        <v>429</v>
      </c>
      <c r="C17" s="9">
        <v>145</v>
      </c>
      <c r="D17" s="10" t="s">
        <v>121</v>
      </c>
      <c r="E17" s="50">
        <f>1.6*C17</f>
        <v>232</v>
      </c>
      <c r="F17" s="9" t="s">
        <v>205</v>
      </c>
      <c r="G17" s="75">
        <v>1.2</v>
      </c>
      <c r="H17" s="76">
        <v>0.9</v>
      </c>
      <c r="I17" s="9">
        <v>116</v>
      </c>
      <c r="J17" s="9">
        <v>80</v>
      </c>
      <c r="K17" s="10">
        <v>77</v>
      </c>
      <c r="L17" s="65">
        <f>AVERAGE(159,118,150,100,99,100,100,119,99,123,128)</f>
        <v>117.72727272727273</v>
      </c>
      <c r="M17" s="25" t="s">
        <v>952</v>
      </c>
      <c r="N17" s="65">
        <f>AVERAGE(240,240,224.222,222,224,200,233,200,225,225,199)</f>
        <v>221.11109090909088</v>
      </c>
      <c r="O17" s="118" t="s">
        <v>1091</v>
      </c>
      <c r="P17" s="65">
        <v>170</v>
      </c>
      <c r="Q17" s="25" t="s">
        <v>681</v>
      </c>
      <c r="R17" s="50" t="s">
        <v>31</v>
      </c>
      <c r="S17" s="65">
        <v>400</v>
      </c>
      <c r="T17" s="25" t="s">
        <v>723</v>
      </c>
      <c r="U17" s="50" t="s">
        <v>30</v>
      </c>
    </row>
    <row r="18" spans="1:21" ht="12.6" customHeight="1">
      <c r="A18" s="63" t="s">
        <v>206</v>
      </c>
      <c r="B18" s="63" t="s">
        <v>238</v>
      </c>
      <c r="C18" s="20">
        <v>150</v>
      </c>
      <c r="D18" s="142">
        <v>3.5</v>
      </c>
      <c r="E18" s="50">
        <f t="shared" si="0"/>
        <v>240</v>
      </c>
      <c r="F18" s="64" t="s">
        <v>205</v>
      </c>
      <c r="G18" s="34">
        <v>1.5</v>
      </c>
      <c r="H18" s="35">
        <v>0.41499999999999998</v>
      </c>
      <c r="I18" s="20">
        <v>80</v>
      </c>
      <c r="J18" s="20">
        <v>70</v>
      </c>
      <c r="K18" s="50">
        <v>58</v>
      </c>
      <c r="L18" s="65">
        <f>AVERAGE(90,129,90,88,115,109,103,105,100,110)</f>
        <v>103.9</v>
      </c>
      <c r="M18" s="66" t="s">
        <v>1171</v>
      </c>
      <c r="N18" s="65">
        <f>AVERAGE(129,165,139,205,138,250,130,142,133,130,125,120)</f>
        <v>150.5</v>
      </c>
      <c r="O18" s="66" t="s">
        <v>1171</v>
      </c>
      <c r="P18" s="65">
        <v>115</v>
      </c>
      <c r="Q18" s="9" t="s">
        <v>1153</v>
      </c>
      <c r="R18" s="50" t="s">
        <v>28</v>
      </c>
      <c r="S18" s="65">
        <v>130</v>
      </c>
      <c r="T18" s="9" t="s">
        <v>723</v>
      </c>
      <c r="U18" s="50" t="s">
        <v>30</v>
      </c>
    </row>
    <row r="19" spans="1:21" ht="12.6" customHeight="1">
      <c r="A19" s="63" t="s">
        <v>206</v>
      </c>
      <c r="B19" s="63" t="s">
        <v>239</v>
      </c>
      <c r="C19" s="20">
        <v>210</v>
      </c>
      <c r="D19" s="142">
        <v>4</v>
      </c>
      <c r="E19" s="50">
        <f t="shared" si="0"/>
        <v>336</v>
      </c>
      <c r="F19" s="64" t="s">
        <v>205</v>
      </c>
      <c r="G19" s="34">
        <v>2.5</v>
      </c>
      <c r="H19" s="35">
        <v>0.71499999999999997</v>
      </c>
      <c r="I19" s="20">
        <v>137</v>
      </c>
      <c r="J19" s="20">
        <v>70</v>
      </c>
      <c r="K19" s="50">
        <v>58</v>
      </c>
      <c r="L19" s="65">
        <f>AVERAGE(34,65,50,70,50)</f>
        <v>53.8</v>
      </c>
      <c r="M19" s="66" t="s">
        <v>1171</v>
      </c>
      <c r="N19" s="65">
        <f>AVERAGE(185,135,120,135,210,145,145,125)</f>
        <v>150</v>
      </c>
      <c r="O19" s="66" t="s">
        <v>892</v>
      </c>
      <c r="P19" s="65">
        <v>62</v>
      </c>
      <c r="Q19" s="9" t="s">
        <v>723</v>
      </c>
      <c r="R19" s="50" t="s">
        <v>28</v>
      </c>
      <c r="S19" s="65">
        <f>129*CA.US</f>
        <v>98.04</v>
      </c>
      <c r="T19" s="9" t="s">
        <v>874</v>
      </c>
      <c r="U19" s="50" t="s">
        <v>537</v>
      </c>
    </row>
    <row r="20" spans="1:21" ht="12.6" customHeight="1">
      <c r="A20" s="63" t="s">
        <v>206</v>
      </c>
      <c r="B20" s="63" t="s">
        <v>274</v>
      </c>
      <c r="C20" s="20">
        <v>300</v>
      </c>
      <c r="D20" s="142">
        <v>5.6</v>
      </c>
      <c r="E20" s="50">
        <f t="shared" si="0"/>
        <v>480</v>
      </c>
      <c r="F20" s="64" t="s">
        <v>205</v>
      </c>
      <c r="G20" s="34">
        <v>4</v>
      </c>
      <c r="H20" s="35">
        <v>0.7</v>
      </c>
      <c r="I20" s="20">
        <v>164</v>
      </c>
      <c r="J20" s="20">
        <v>71</v>
      </c>
      <c r="K20" s="50">
        <v>58</v>
      </c>
      <c r="L20" s="65">
        <f>AVERAGE(98,139,125,109,114,100,137,120,179,145)</f>
        <v>126.6</v>
      </c>
      <c r="M20" s="66" t="s">
        <v>1153</v>
      </c>
      <c r="N20" s="65">
        <f>AVERAGE(181,150,158,160,130,150,200)</f>
        <v>161.28571428571428</v>
      </c>
      <c r="O20" s="66" t="s">
        <v>1171</v>
      </c>
      <c r="P20" s="65">
        <v>175</v>
      </c>
      <c r="Q20" s="9" t="s">
        <v>1153</v>
      </c>
      <c r="R20" s="50" t="s">
        <v>28</v>
      </c>
      <c r="S20" s="65">
        <v>400</v>
      </c>
      <c r="T20" s="9" t="s">
        <v>577</v>
      </c>
      <c r="U20" s="50" t="s">
        <v>30</v>
      </c>
    </row>
    <row r="21" spans="1:21" ht="12.6" customHeight="1">
      <c r="A21" s="67" t="s">
        <v>206</v>
      </c>
      <c r="B21" s="67" t="s">
        <v>275</v>
      </c>
      <c r="C21" s="36">
        <v>500</v>
      </c>
      <c r="D21" s="71">
        <v>5.6</v>
      </c>
      <c r="E21" s="52">
        <f t="shared" ref="E21" si="1">1.6*C21</f>
        <v>800</v>
      </c>
      <c r="F21" s="69" t="s">
        <v>205</v>
      </c>
      <c r="G21" s="59">
        <v>9</v>
      </c>
      <c r="H21" s="40">
        <v>2.2799999999999998</v>
      </c>
      <c r="I21" s="36">
        <v>358</v>
      </c>
      <c r="J21" s="36">
        <v>114</v>
      </c>
      <c r="K21" s="52">
        <v>105</v>
      </c>
      <c r="L21" s="61">
        <f>AVERAGE(279,278,290,260,199,289)</f>
        <v>265.83333333333331</v>
      </c>
      <c r="M21" s="168" t="s">
        <v>919</v>
      </c>
      <c r="N21" s="61">
        <f>AVERAGE(334,390,400,518,400,429,333,330,295,275,460,479,489)</f>
        <v>394.76923076923077</v>
      </c>
      <c r="O21" s="183" t="s">
        <v>1171</v>
      </c>
      <c r="P21" s="61">
        <v>400</v>
      </c>
      <c r="Q21" s="36" t="s">
        <v>681</v>
      </c>
      <c r="R21" s="52" t="s">
        <v>31</v>
      </c>
      <c r="S21" s="61">
        <v>700</v>
      </c>
      <c r="T21" s="36" t="s">
        <v>577</v>
      </c>
      <c r="U21" s="52" t="s">
        <v>30</v>
      </c>
    </row>
    <row r="22" spans="1:21" ht="12.6" customHeight="1">
      <c r="A22" s="63" t="s">
        <v>206</v>
      </c>
      <c r="B22" s="63" t="s">
        <v>478</v>
      </c>
      <c r="C22" s="20">
        <v>120</v>
      </c>
      <c r="D22" s="142" t="s">
        <v>121</v>
      </c>
      <c r="E22" s="50">
        <f t="shared" si="0"/>
        <v>192</v>
      </c>
      <c r="F22" s="64" t="s">
        <v>205</v>
      </c>
      <c r="G22" s="34">
        <v>0.4</v>
      </c>
      <c r="H22" s="35">
        <v>0.745</v>
      </c>
      <c r="I22" s="20">
        <v>111</v>
      </c>
      <c r="J22" s="20">
        <v>77.400000000000006</v>
      </c>
      <c r="K22" s="50">
        <v>67</v>
      </c>
      <c r="L22" s="65">
        <f>AVERAGE(220,299,250,277,269,278,251,216,284,280,268)</f>
        <v>262.90909090909093</v>
      </c>
      <c r="M22" s="66" t="s">
        <v>918</v>
      </c>
      <c r="N22" s="65">
        <f>AVERAGE(400,390,340,350,374,380,398,337,349,420,375)</f>
        <v>373.90909090909093</v>
      </c>
      <c r="O22" s="66" t="s">
        <v>1171</v>
      </c>
      <c r="P22" s="65">
        <f>389*CA.US</f>
        <v>295.64</v>
      </c>
      <c r="Q22" s="9" t="s">
        <v>925</v>
      </c>
      <c r="R22" s="50" t="s">
        <v>537</v>
      </c>
      <c r="S22" s="65">
        <v>450</v>
      </c>
      <c r="T22" s="9" t="s">
        <v>723</v>
      </c>
      <c r="U22" s="50" t="s">
        <v>30</v>
      </c>
    </row>
    <row r="23" spans="1:21" ht="12.6" customHeight="1">
      <c r="A23" s="63" t="s">
        <v>206</v>
      </c>
      <c r="B23" s="63" t="s">
        <v>276</v>
      </c>
      <c r="C23" s="20">
        <v>150</v>
      </c>
      <c r="D23" s="142" t="s">
        <v>144</v>
      </c>
      <c r="E23" s="50">
        <f t="shared" si="0"/>
        <v>240</v>
      </c>
      <c r="F23" s="64" t="s">
        <v>205</v>
      </c>
      <c r="G23" s="34">
        <v>1.5</v>
      </c>
      <c r="H23" s="35">
        <v>0.74</v>
      </c>
      <c r="I23" s="20">
        <v>107</v>
      </c>
      <c r="J23" s="20">
        <v>74.5</v>
      </c>
      <c r="K23" s="50">
        <v>67</v>
      </c>
      <c r="L23" s="65">
        <f>AVERAGE(229,180,185,220,210,159,178,218,198,218)</f>
        <v>199.5</v>
      </c>
      <c r="M23" s="66" t="s">
        <v>1171</v>
      </c>
      <c r="N23" s="65">
        <f>AVERAGE(300,292,296,300,273,297,290,238,418,259,330,295)</f>
        <v>299</v>
      </c>
      <c r="O23" s="66" t="s">
        <v>1153</v>
      </c>
      <c r="P23" s="65">
        <v>300</v>
      </c>
      <c r="Q23" s="9" t="s">
        <v>1153</v>
      </c>
      <c r="R23" s="50" t="s">
        <v>28</v>
      </c>
      <c r="S23" s="65"/>
      <c r="T23" s="9"/>
      <c r="U23" s="50"/>
    </row>
    <row r="24" spans="1:21" s="26" customFormat="1" ht="12.6" customHeight="1">
      <c r="A24" s="73" t="s">
        <v>206</v>
      </c>
      <c r="B24" s="46" t="s">
        <v>240</v>
      </c>
      <c r="C24" s="9">
        <v>200</v>
      </c>
      <c r="D24" s="10" t="s">
        <v>144</v>
      </c>
      <c r="E24" s="50">
        <f t="shared" si="0"/>
        <v>320</v>
      </c>
      <c r="F24" s="9" t="s">
        <v>205</v>
      </c>
      <c r="G24" s="75">
        <v>2.5</v>
      </c>
      <c r="H24" s="76">
        <v>1.1000000000000001</v>
      </c>
      <c r="I24" s="9">
        <v>143.5</v>
      </c>
      <c r="J24" s="9">
        <v>91</v>
      </c>
      <c r="K24" s="10">
        <v>77</v>
      </c>
      <c r="L24" s="65">
        <f>AVERAGE(661,750,595,747,699,698,700,715,541)</f>
        <v>678.44444444444446</v>
      </c>
      <c r="M24" s="25" t="s">
        <v>1153</v>
      </c>
      <c r="N24" s="65">
        <f>AVERAGE(900,998,1100,1090,1280,1200,848,949,1090,1179,1056,1019,970,968,968,947)</f>
        <v>1035.125</v>
      </c>
      <c r="O24" s="118" t="s">
        <v>1153</v>
      </c>
      <c r="P24" s="65">
        <v>920</v>
      </c>
      <c r="Q24" s="25" t="s">
        <v>1153</v>
      </c>
      <c r="R24" s="50" t="s">
        <v>28</v>
      </c>
      <c r="S24" s="65">
        <v>1080</v>
      </c>
      <c r="T24" s="25" t="s">
        <v>612</v>
      </c>
      <c r="U24" s="50" t="s">
        <v>28</v>
      </c>
    </row>
    <row r="25" spans="1:21" ht="12.6" customHeight="1">
      <c r="A25" s="63" t="s">
        <v>206</v>
      </c>
      <c r="B25" s="63" t="s">
        <v>689</v>
      </c>
      <c r="C25" s="20">
        <v>300</v>
      </c>
      <c r="D25" s="142" t="s">
        <v>144</v>
      </c>
      <c r="E25" s="50">
        <f t="shared" si="0"/>
        <v>480</v>
      </c>
      <c r="F25" s="64" t="s">
        <v>205</v>
      </c>
      <c r="G25" s="34">
        <v>3.5</v>
      </c>
      <c r="H25" s="35">
        <v>2.7</v>
      </c>
      <c r="I25" s="20">
        <v>237</v>
      </c>
      <c r="J25" s="20">
        <v>140</v>
      </c>
      <c r="K25" s="50" t="s">
        <v>231</v>
      </c>
      <c r="L25" s="65">
        <f>AVERAGE(2000,1925,1625,1899,1600,1850,1600,2121,1949)</f>
        <v>1841</v>
      </c>
      <c r="M25" s="66" t="s">
        <v>924</v>
      </c>
      <c r="N25" s="65">
        <f>AVERAGE(3280,3499,3499,4479,2750,3179,3519)</f>
        <v>3457.8571428571427</v>
      </c>
      <c r="O25" s="66" t="s">
        <v>1153</v>
      </c>
      <c r="P25" s="65">
        <v>1995</v>
      </c>
      <c r="Q25" s="9" t="s">
        <v>379</v>
      </c>
      <c r="R25" s="50" t="s">
        <v>26</v>
      </c>
      <c r="S25" s="65">
        <v>2200</v>
      </c>
      <c r="T25" s="9" t="s">
        <v>382</v>
      </c>
      <c r="U25" s="50" t="s">
        <v>381</v>
      </c>
    </row>
    <row r="26" spans="1:21" ht="12.6" customHeight="1">
      <c r="A26" s="67" t="s">
        <v>206</v>
      </c>
      <c r="B26" s="67" t="s">
        <v>241</v>
      </c>
      <c r="C26" s="36">
        <v>500</v>
      </c>
      <c r="D26" s="71">
        <v>4.5</v>
      </c>
      <c r="E26" s="52">
        <f t="shared" si="0"/>
        <v>800</v>
      </c>
      <c r="F26" s="69" t="s">
        <v>205</v>
      </c>
      <c r="G26" s="59">
        <v>5</v>
      </c>
      <c r="H26" s="40">
        <v>5.4</v>
      </c>
      <c r="I26" s="36">
        <v>378</v>
      </c>
      <c r="J26" s="36">
        <v>162</v>
      </c>
      <c r="K26" s="52" t="s">
        <v>231</v>
      </c>
      <c r="L26" s="61">
        <f>AVERAGE(2300)</f>
        <v>2300</v>
      </c>
      <c r="M26" s="183" t="s">
        <v>267</v>
      </c>
      <c r="N26" s="61">
        <f>AVERAGE(5600)</f>
        <v>5600</v>
      </c>
      <c r="O26" s="183" t="s">
        <v>817</v>
      </c>
      <c r="P26" s="61">
        <v>3350</v>
      </c>
      <c r="Q26" s="36" t="s">
        <v>277</v>
      </c>
      <c r="R26" s="52" t="s">
        <v>30</v>
      </c>
      <c r="S26" s="151" t="s">
        <v>357</v>
      </c>
      <c r="T26" s="36" t="s">
        <v>360</v>
      </c>
      <c r="U26" s="52" t="s">
        <v>24</v>
      </c>
    </row>
    <row r="27" spans="1:21" ht="12.6" customHeight="1">
      <c r="A27" s="73" t="s">
        <v>206</v>
      </c>
      <c r="B27" s="73" t="s">
        <v>296</v>
      </c>
      <c r="C27" s="9" t="s">
        <v>259</v>
      </c>
      <c r="D27" s="10">
        <v>4.5</v>
      </c>
      <c r="E27" s="50" t="s">
        <v>14</v>
      </c>
      <c r="F27" s="64" t="s">
        <v>205</v>
      </c>
      <c r="G27" s="47">
        <v>1.5</v>
      </c>
      <c r="H27" s="76">
        <v>0.8</v>
      </c>
      <c r="I27" s="9">
        <v>104</v>
      </c>
      <c r="J27" s="154">
        <v>75</v>
      </c>
      <c r="K27" s="50">
        <v>67</v>
      </c>
      <c r="L27" s="65">
        <f>AVERAGE(100,120,150,112,119,118,109,139,136,110,105,150,134,109,149,118)</f>
        <v>123.625</v>
      </c>
      <c r="M27" s="66" t="s">
        <v>1171</v>
      </c>
      <c r="N27" s="65">
        <f>AVERAGE(180,149,160,188,200,245,204)</f>
        <v>189.42857142857142</v>
      </c>
      <c r="O27" s="66" t="s">
        <v>1153</v>
      </c>
      <c r="P27" s="65">
        <v>150</v>
      </c>
      <c r="Q27" s="9" t="s">
        <v>1153</v>
      </c>
      <c r="R27" s="50" t="s">
        <v>948</v>
      </c>
      <c r="S27" s="65">
        <v>197</v>
      </c>
      <c r="T27" s="9" t="s">
        <v>723</v>
      </c>
      <c r="U27" s="50" t="s">
        <v>30</v>
      </c>
    </row>
    <row r="28" spans="1:21" ht="12.6" customHeight="1">
      <c r="A28" s="67" t="s">
        <v>206</v>
      </c>
      <c r="B28" s="67" t="s">
        <v>257</v>
      </c>
      <c r="C28" s="36" t="s">
        <v>258</v>
      </c>
      <c r="D28" s="71">
        <v>4.5</v>
      </c>
      <c r="E28" s="52" t="s">
        <v>14</v>
      </c>
      <c r="F28" s="69" t="s">
        <v>205</v>
      </c>
      <c r="G28" s="59">
        <v>1.8</v>
      </c>
      <c r="H28" s="40">
        <v>0.875</v>
      </c>
      <c r="I28" s="36">
        <v>158</v>
      </c>
      <c r="J28" s="36">
        <v>74.5</v>
      </c>
      <c r="K28" s="52">
        <v>58</v>
      </c>
      <c r="L28" s="61">
        <f>AVERAGE(120,110,133,117,125,109,119,120,87,125,175,100)</f>
        <v>120</v>
      </c>
      <c r="M28" s="183" t="s">
        <v>1153</v>
      </c>
      <c r="N28" s="61">
        <f>AVERAGE(140,140,220,185,177,215,198,200,195)</f>
        <v>185.55555555555554</v>
      </c>
      <c r="O28" s="183" t="s">
        <v>723</v>
      </c>
      <c r="P28" s="61">
        <v>140</v>
      </c>
      <c r="Q28" s="36" t="s">
        <v>1153</v>
      </c>
      <c r="R28" s="52" t="s">
        <v>28</v>
      </c>
      <c r="S28" s="61">
        <v>350</v>
      </c>
      <c r="T28" s="36" t="s">
        <v>511</v>
      </c>
      <c r="U28" s="52" t="s">
        <v>30</v>
      </c>
    </row>
    <row r="29" spans="1:21" s="26" customFormat="1" ht="12.6" customHeight="1">
      <c r="A29" s="137" t="s">
        <v>609</v>
      </c>
      <c r="B29" s="130"/>
      <c r="C29" s="43" t="s">
        <v>14</v>
      </c>
      <c r="D29" s="131" t="s">
        <v>14</v>
      </c>
      <c r="E29" s="43" t="s">
        <v>14</v>
      </c>
      <c r="F29" s="135"/>
      <c r="G29" s="138"/>
      <c r="H29" s="134"/>
      <c r="I29" s="43"/>
      <c r="J29" s="43"/>
      <c r="K29" s="43"/>
      <c r="L29" s="43"/>
      <c r="M29" s="43"/>
      <c r="N29" s="43"/>
      <c r="O29" s="43"/>
      <c r="P29" s="43"/>
      <c r="Q29" s="43"/>
      <c r="R29" s="43"/>
      <c r="S29" s="43"/>
      <c r="T29" s="43"/>
      <c r="U29" s="43"/>
    </row>
    <row r="30" spans="1:21" ht="12.6" customHeight="1">
      <c r="A30" s="63" t="s">
        <v>23</v>
      </c>
      <c r="B30" s="63" t="s">
        <v>458</v>
      </c>
      <c r="C30" s="20">
        <v>60</v>
      </c>
      <c r="D30" s="142" t="s">
        <v>120</v>
      </c>
      <c r="E30" s="50">
        <f t="shared" ref="E30:E33" si="2">1.6*C30</f>
        <v>96</v>
      </c>
      <c r="F30" s="64" t="s">
        <v>207</v>
      </c>
      <c r="G30" s="34">
        <v>0.6</v>
      </c>
      <c r="H30" s="35">
        <v>0.56999999999999995</v>
      </c>
      <c r="I30" s="20">
        <v>84</v>
      </c>
      <c r="J30" s="20">
        <v>81</v>
      </c>
      <c r="K30" s="50">
        <v>67</v>
      </c>
      <c r="L30" s="65">
        <f>AVERAGE(599,632,650,699,580,511,680,762)</f>
        <v>639.125</v>
      </c>
      <c r="M30" s="66" t="s">
        <v>688</v>
      </c>
      <c r="N30" s="65">
        <f>AVERAGE(1300,890,983,1016,965,1331,750,1195,973,885)</f>
        <v>1028.8</v>
      </c>
      <c r="O30" s="66" t="s">
        <v>1061</v>
      </c>
      <c r="P30" s="65"/>
      <c r="Q30" s="9"/>
      <c r="R30" s="50"/>
      <c r="S30" s="65"/>
      <c r="T30" s="9"/>
      <c r="U30" s="50"/>
    </row>
    <row r="31" spans="1:21" ht="12.6" customHeight="1">
      <c r="A31" s="63" t="s">
        <v>23</v>
      </c>
      <c r="B31" s="63" t="s">
        <v>209</v>
      </c>
      <c r="C31" s="20">
        <v>80</v>
      </c>
      <c r="D31" s="142" t="s">
        <v>144</v>
      </c>
      <c r="E31" s="50">
        <f t="shared" si="2"/>
        <v>128</v>
      </c>
      <c r="F31" s="64" t="s">
        <v>207</v>
      </c>
      <c r="G31" s="34">
        <v>0.6</v>
      </c>
      <c r="H31" s="35">
        <v>0.5</v>
      </c>
      <c r="I31" s="20">
        <v>72</v>
      </c>
      <c r="J31" s="20">
        <v>84</v>
      </c>
      <c r="K31" s="50">
        <v>67</v>
      </c>
      <c r="L31" s="65">
        <f>AVERAGE(865,890,600,837,853,692,769,764,860,880,841,700,725,853)</f>
        <v>794.92857142857144</v>
      </c>
      <c r="M31" s="66" t="s">
        <v>951</v>
      </c>
      <c r="N31" s="65">
        <f>AVERAGE(1169,900,1128,940,1281,1280,1065,1044,1221,1021,1031)</f>
        <v>1098.1818181818182</v>
      </c>
      <c r="O31" s="66" t="s">
        <v>1061</v>
      </c>
      <c r="P31" s="65"/>
      <c r="Q31" s="9"/>
      <c r="R31" s="50"/>
      <c r="S31" s="65">
        <v>1145</v>
      </c>
      <c r="T31" s="9" t="s">
        <v>645</v>
      </c>
      <c r="U31" s="50" t="s">
        <v>26</v>
      </c>
    </row>
    <row r="32" spans="1:21" ht="12.6" customHeight="1">
      <c r="A32" s="63" t="s">
        <v>23</v>
      </c>
      <c r="B32" s="63" t="s">
        <v>461</v>
      </c>
      <c r="C32" s="20">
        <v>150</v>
      </c>
      <c r="D32" s="142" t="s">
        <v>121</v>
      </c>
      <c r="E32" s="50">
        <f t="shared" si="2"/>
        <v>240</v>
      </c>
      <c r="F32" s="64" t="s">
        <v>207</v>
      </c>
      <c r="G32" s="34">
        <v>1.5</v>
      </c>
      <c r="H32" s="35">
        <v>0.76</v>
      </c>
      <c r="I32" s="20">
        <v>101</v>
      </c>
      <c r="J32" s="20">
        <v>84</v>
      </c>
      <c r="K32" s="50">
        <v>67</v>
      </c>
      <c r="L32" s="65">
        <f>AVERAGE(595,511,513)</f>
        <v>539.66666666666663</v>
      </c>
      <c r="M32" s="66" t="s">
        <v>670</v>
      </c>
      <c r="N32" s="65">
        <f>AVERAGE(985,998,981)</f>
        <v>988</v>
      </c>
      <c r="O32" s="66" t="s">
        <v>690</v>
      </c>
      <c r="P32" s="65"/>
      <c r="Q32" s="9"/>
      <c r="R32" s="50"/>
      <c r="S32" s="65"/>
      <c r="T32" s="9"/>
      <c r="U32" s="50"/>
    </row>
    <row r="33" spans="1:21" ht="12.6" customHeight="1">
      <c r="A33" s="67" t="s">
        <v>23</v>
      </c>
      <c r="B33" s="67" t="s">
        <v>462</v>
      </c>
      <c r="C33" s="36">
        <v>250</v>
      </c>
      <c r="D33" s="71" t="s">
        <v>460</v>
      </c>
      <c r="E33" s="52">
        <f t="shared" si="2"/>
        <v>400</v>
      </c>
      <c r="F33" s="69" t="s">
        <v>207</v>
      </c>
      <c r="G33" s="59">
        <v>3</v>
      </c>
      <c r="H33" s="40">
        <v>0.9</v>
      </c>
      <c r="I33" s="36">
        <v>168</v>
      </c>
      <c r="J33" s="36">
        <v>84</v>
      </c>
      <c r="K33" s="52">
        <v>67</v>
      </c>
      <c r="L33" s="61">
        <f>AVERAGE(660)</f>
        <v>660</v>
      </c>
      <c r="M33" s="183" t="s">
        <v>463</v>
      </c>
      <c r="N33" s="61">
        <f>AVERAGE(1350)</f>
        <v>1350</v>
      </c>
      <c r="O33" s="183" t="s">
        <v>511</v>
      </c>
      <c r="P33" s="61"/>
      <c r="Q33" s="36"/>
      <c r="R33" s="52"/>
      <c r="S33" s="61"/>
      <c r="T33" s="36"/>
      <c r="U33" s="52"/>
    </row>
    <row r="34" spans="1:21" s="26" customFormat="1" ht="12.6" customHeight="1">
      <c r="A34" s="137" t="s">
        <v>610</v>
      </c>
      <c r="B34" s="130"/>
      <c r="C34" s="43" t="s">
        <v>14</v>
      </c>
      <c r="D34" s="131" t="s">
        <v>14</v>
      </c>
      <c r="E34" s="43" t="s">
        <v>14</v>
      </c>
      <c r="F34" s="135"/>
      <c r="G34" s="138"/>
      <c r="H34" s="134"/>
      <c r="I34" s="43"/>
      <c r="J34" s="43"/>
      <c r="K34" s="43"/>
      <c r="L34" s="43"/>
      <c r="M34" s="43"/>
      <c r="N34" s="43"/>
      <c r="O34" s="43"/>
      <c r="P34" s="43"/>
      <c r="Q34" s="43"/>
      <c r="R34" s="43"/>
      <c r="S34" s="43"/>
      <c r="T34" s="43"/>
      <c r="U34" s="43"/>
    </row>
    <row r="35" spans="1:21" ht="12.6" customHeight="1">
      <c r="A35" s="73" t="s">
        <v>117</v>
      </c>
      <c r="B35" s="73" t="s">
        <v>602</v>
      </c>
      <c r="C35" s="9">
        <v>35</v>
      </c>
      <c r="D35" s="10" t="s">
        <v>120</v>
      </c>
      <c r="E35" s="50">
        <v>56</v>
      </c>
      <c r="F35" s="64" t="s">
        <v>601</v>
      </c>
      <c r="G35" s="47">
        <v>0.3</v>
      </c>
      <c r="H35" s="76">
        <v>0.47</v>
      </c>
      <c r="I35" s="9">
        <v>67</v>
      </c>
      <c r="J35" s="9">
        <v>80</v>
      </c>
      <c r="K35" s="50">
        <v>77</v>
      </c>
      <c r="L35" s="65">
        <f>AVERAGE(345,368,318,300,400)</f>
        <v>346.2</v>
      </c>
      <c r="M35" s="66" t="s">
        <v>1171</v>
      </c>
      <c r="N35" s="65">
        <f>AVERAGE(550,430,549,580,550,480,499,560,539,574,598)</f>
        <v>537.18181818181813</v>
      </c>
      <c r="O35" s="66" t="s">
        <v>1171</v>
      </c>
      <c r="P35" s="65">
        <f>595*CA.US</f>
        <v>452.2</v>
      </c>
      <c r="Q35" s="9" t="s">
        <v>999</v>
      </c>
      <c r="R35" s="50" t="s">
        <v>873</v>
      </c>
      <c r="S35" s="65"/>
      <c r="T35" s="9"/>
      <c r="U35" s="50"/>
    </row>
    <row r="36" spans="1:21" ht="12.6" customHeight="1">
      <c r="A36" s="73" t="s">
        <v>117</v>
      </c>
      <c r="B36" s="73" t="s">
        <v>600</v>
      </c>
      <c r="C36" s="9">
        <v>35</v>
      </c>
      <c r="D36" s="10" t="s">
        <v>120</v>
      </c>
      <c r="E36" s="50">
        <v>56</v>
      </c>
      <c r="F36" s="64" t="s">
        <v>601</v>
      </c>
      <c r="G36" s="47">
        <v>0.3</v>
      </c>
      <c r="H36" s="76">
        <v>0.56000000000000005</v>
      </c>
      <c r="I36" s="9">
        <v>90</v>
      </c>
      <c r="J36" s="9">
        <v>88</v>
      </c>
      <c r="K36" s="50">
        <v>82</v>
      </c>
      <c r="L36" s="65">
        <f>AVERAGE(549)</f>
        <v>549</v>
      </c>
      <c r="M36" s="66" t="s">
        <v>1171</v>
      </c>
      <c r="N36" s="65">
        <f>AVERAGE(600)</f>
        <v>600</v>
      </c>
      <c r="O36" s="66" t="s">
        <v>1171</v>
      </c>
      <c r="P36" s="65">
        <f>1299*CA.US</f>
        <v>987.24</v>
      </c>
      <c r="Q36" s="9" t="s">
        <v>681</v>
      </c>
      <c r="R36" s="50" t="s">
        <v>537</v>
      </c>
      <c r="S36" s="65"/>
      <c r="T36" s="9"/>
      <c r="U36" s="50"/>
    </row>
    <row r="37" spans="1:21" ht="12.6" customHeight="1">
      <c r="A37" s="73" t="s">
        <v>117</v>
      </c>
      <c r="B37" s="73" t="s">
        <v>603</v>
      </c>
      <c r="C37" s="9">
        <v>55</v>
      </c>
      <c r="D37" s="10">
        <v>2.8</v>
      </c>
      <c r="E37" s="50">
        <v>56</v>
      </c>
      <c r="F37" s="64" t="s">
        <v>601</v>
      </c>
      <c r="G37" s="47">
        <v>0.45</v>
      </c>
      <c r="H37" s="76">
        <v>0.41</v>
      </c>
      <c r="I37" s="9">
        <v>60.5</v>
      </c>
      <c r="J37" s="9">
        <v>74</v>
      </c>
      <c r="K37" s="50">
        <v>58</v>
      </c>
      <c r="L37" s="65">
        <f>AVERAGE(149,160,158,139,148,124,138,115,130,119,120)</f>
        <v>136.36363636363637</v>
      </c>
      <c r="M37" s="66" t="s">
        <v>1171</v>
      </c>
      <c r="N37" s="65">
        <f>AVERAGE(220,160,169,150,190,156,159,170,199,197,210,190,180,189)</f>
        <v>181.35714285714286</v>
      </c>
      <c r="O37" s="66" t="s">
        <v>1153</v>
      </c>
      <c r="P37" s="65">
        <v>200</v>
      </c>
      <c r="Q37" s="9" t="s">
        <v>681</v>
      </c>
      <c r="R37" s="50" t="s">
        <v>30</v>
      </c>
      <c r="S37" s="65">
        <v>220</v>
      </c>
      <c r="T37" s="9" t="s">
        <v>723</v>
      </c>
      <c r="U37" s="50" t="s">
        <v>30</v>
      </c>
    </row>
    <row r="38" spans="1:21" ht="12.6" customHeight="1">
      <c r="A38" s="73" t="s">
        <v>117</v>
      </c>
      <c r="B38" s="73" t="s">
        <v>1179</v>
      </c>
      <c r="C38" s="9">
        <v>55</v>
      </c>
      <c r="D38" s="10">
        <v>2.8</v>
      </c>
      <c r="E38" s="50">
        <v>56</v>
      </c>
      <c r="F38" s="64" t="s">
        <v>601</v>
      </c>
      <c r="G38" s="47">
        <v>0.5</v>
      </c>
      <c r="H38" s="76">
        <v>0.41599999999999998</v>
      </c>
      <c r="I38" s="9">
        <v>68.2</v>
      </c>
      <c r="J38" s="9">
        <v>81.3</v>
      </c>
      <c r="K38" s="50">
        <v>67</v>
      </c>
      <c r="L38" s="65">
        <f>AVERAGE(515)</f>
        <v>515</v>
      </c>
      <c r="M38" s="66" t="s">
        <v>1171</v>
      </c>
      <c r="N38" s="65">
        <f>AVERAGE(645,558,558)</f>
        <v>587</v>
      </c>
      <c r="O38" s="66" t="s">
        <v>1176</v>
      </c>
      <c r="P38" s="65"/>
      <c r="Q38" s="9"/>
      <c r="R38" s="50"/>
      <c r="S38" s="65">
        <v>920</v>
      </c>
      <c r="T38" s="9" t="s">
        <v>612</v>
      </c>
      <c r="U38" s="50" t="s">
        <v>28</v>
      </c>
    </row>
    <row r="39" spans="1:21" ht="12.6" customHeight="1">
      <c r="A39" s="73" t="s">
        <v>117</v>
      </c>
      <c r="B39" s="73" t="s">
        <v>607</v>
      </c>
      <c r="C39" s="9">
        <v>75</v>
      </c>
      <c r="D39" s="10">
        <v>2.8</v>
      </c>
      <c r="E39" s="50">
        <v>56</v>
      </c>
      <c r="F39" s="64" t="s">
        <v>601</v>
      </c>
      <c r="G39" s="47">
        <v>0.6</v>
      </c>
      <c r="H39" s="76">
        <v>0.24</v>
      </c>
      <c r="I39" s="9">
        <v>37.5</v>
      </c>
      <c r="J39" s="9">
        <v>74</v>
      </c>
      <c r="K39" s="50">
        <v>58</v>
      </c>
      <c r="L39" s="65">
        <f>AVERAGE(187,200,135,145,159,169,170,125,135,158,169,135)</f>
        <v>157.25</v>
      </c>
      <c r="M39" s="66" t="s">
        <v>954</v>
      </c>
      <c r="N39" s="65">
        <f>AVERAGE(230,230,259,220,200,219,199,248,230)</f>
        <v>226.11111111111111</v>
      </c>
      <c r="O39" s="66" t="s">
        <v>1171</v>
      </c>
      <c r="P39" s="65">
        <f>149*CA.US</f>
        <v>113.24</v>
      </c>
      <c r="Q39" s="9" t="s">
        <v>681</v>
      </c>
      <c r="R39" s="50" t="s">
        <v>537</v>
      </c>
      <c r="S39" s="65">
        <v>315</v>
      </c>
      <c r="T39" s="9" t="s">
        <v>708</v>
      </c>
      <c r="U39" s="50" t="s">
        <v>456</v>
      </c>
    </row>
    <row r="40" spans="1:21" ht="12.6" customHeight="1">
      <c r="A40" s="73" t="s">
        <v>117</v>
      </c>
      <c r="B40" s="73" t="s">
        <v>608</v>
      </c>
      <c r="C40" s="9">
        <v>75</v>
      </c>
      <c r="D40" s="10">
        <v>2.8</v>
      </c>
      <c r="E40" s="50">
        <v>56</v>
      </c>
      <c r="F40" s="64" t="s">
        <v>601</v>
      </c>
      <c r="G40" s="47">
        <v>0.6</v>
      </c>
      <c r="H40" s="76">
        <v>0.215</v>
      </c>
      <c r="I40" s="14">
        <v>37.5</v>
      </c>
      <c r="J40" s="9">
        <v>74.5</v>
      </c>
      <c r="K40" s="50">
        <v>58</v>
      </c>
      <c r="L40" s="65">
        <f>AVERAGE(240,203,149,199,211,200,248,226)</f>
        <v>209.5</v>
      </c>
      <c r="M40" s="66" t="s">
        <v>814</v>
      </c>
      <c r="N40" s="65">
        <f>AVERAGE(390,410,515,390,460,480,405,399,370,398,378,347,351)</f>
        <v>407.15384615384613</v>
      </c>
      <c r="O40" s="66" t="s">
        <v>1171</v>
      </c>
      <c r="P40" s="65"/>
      <c r="Q40" s="9"/>
      <c r="R40" s="50"/>
      <c r="S40" s="65"/>
      <c r="T40" s="9"/>
      <c r="U40" s="50"/>
    </row>
    <row r="41" spans="1:21" ht="12.6" customHeight="1">
      <c r="A41" s="67" t="s">
        <v>117</v>
      </c>
      <c r="B41" s="67" t="s">
        <v>604</v>
      </c>
      <c r="C41" s="36">
        <v>120</v>
      </c>
      <c r="D41" s="71" t="s">
        <v>121</v>
      </c>
      <c r="E41" s="52">
        <v>56</v>
      </c>
      <c r="F41" s="69" t="s">
        <v>601</v>
      </c>
      <c r="G41" s="41">
        <v>0.39</v>
      </c>
      <c r="H41" s="40">
        <v>0.69499999999999995</v>
      </c>
      <c r="I41" s="57">
        <v>110</v>
      </c>
      <c r="J41" s="36">
        <v>78.5</v>
      </c>
      <c r="K41" s="52">
        <v>67</v>
      </c>
      <c r="L41" s="61">
        <f>AVERAGE(140,120,170)</f>
        <v>143.33333333333334</v>
      </c>
      <c r="M41" s="183" t="s">
        <v>1171</v>
      </c>
      <c r="N41" s="61">
        <f>AVERAGE(180,175,155,200)</f>
        <v>177.5</v>
      </c>
      <c r="O41" s="183" t="s">
        <v>1171</v>
      </c>
      <c r="P41" s="61"/>
      <c r="Q41" s="36"/>
      <c r="R41" s="52"/>
      <c r="S41" s="61">
        <v>350</v>
      </c>
      <c r="T41" s="36" t="s">
        <v>612</v>
      </c>
      <c r="U41" s="52" t="s">
        <v>33</v>
      </c>
    </row>
    <row r="42" spans="1:21" ht="12.6" customHeight="1">
      <c r="A42" s="67" t="s">
        <v>117</v>
      </c>
      <c r="B42" s="67" t="s">
        <v>605</v>
      </c>
      <c r="C42" s="36">
        <v>120</v>
      </c>
      <c r="D42" s="71">
        <v>4</v>
      </c>
      <c r="E42" s="52">
        <v>56</v>
      </c>
      <c r="F42" s="69" t="s">
        <v>601</v>
      </c>
      <c r="G42" s="59">
        <v>0.39500000000000002</v>
      </c>
      <c r="H42" s="40">
        <v>0.73499999999999999</v>
      </c>
      <c r="I42" s="36">
        <v>110</v>
      </c>
      <c r="J42" s="36">
        <v>82.5</v>
      </c>
      <c r="K42" s="52">
        <v>67</v>
      </c>
      <c r="L42" s="61">
        <f>AVERAGE(252,270,258,225,243)</f>
        <v>249.6</v>
      </c>
      <c r="M42" s="183" t="s">
        <v>1061</v>
      </c>
      <c r="N42" s="61">
        <f>AVERAGE(504,465,448)</f>
        <v>472.33333333333331</v>
      </c>
      <c r="O42" s="183" t="s">
        <v>1171</v>
      </c>
      <c r="P42" s="61"/>
      <c r="Q42" s="36"/>
      <c r="R42" s="52"/>
      <c r="S42" s="61"/>
      <c r="T42" s="36"/>
      <c r="U42" s="52"/>
    </row>
  </sheetData>
  <sheetProtection password="990B" sheet="1" objects="1" scenarios="1"/>
  <phoneticPr fontId="0" type="noConversion"/>
  <pageMargins left="0.3" right="0" top="0.5" bottom="0" header="0.59055118110236204" footer="0.511811023622047"/>
  <pageSetup orientation="landscape" r:id="rId1"/>
  <headerFooter alignWithMargins="0">
    <oddHeader>&amp;R&amp;9(&amp;P of &amp;N)</oddHeader>
  </headerFooter>
  <ignoredErrors>
    <ignoredError sqref="D7:D11 D18:D20 D13 D14 D12 D15:D17 D22:D28 D29:D33 D34:D41"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U79"/>
  <sheetViews>
    <sheetView zoomScaleNormal="100" workbookViewId="0"/>
  </sheetViews>
  <sheetFormatPr defaultColWidth="9.140625" defaultRowHeight="12.6" customHeight="1"/>
  <cols>
    <col min="1" max="1" width="8.7109375" style="63" customWidth="1"/>
    <col min="2" max="2" width="24.85546875" style="63" customWidth="1"/>
    <col min="3" max="3" width="6.28515625" style="20" customWidth="1"/>
    <col min="4" max="4" width="6.5703125" style="142" customWidth="1"/>
    <col min="5" max="5" width="6.5703125" style="20" customWidth="1"/>
    <col min="6" max="6" width="5.140625" style="21" customWidth="1"/>
    <col min="7" max="7" width="4.7109375" style="34" customWidth="1"/>
    <col min="8" max="8" width="4.7109375" style="35" customWidth="1"/>
    <col min="9" max="11" width="4.7109375" style="20" customWidth="1"/>
    <col min="12" max="20" width="5.28515625" style="20" customWidth="1"/>
    <col min="21" max="21" width="6.28515625" style="20" customWidth="1"/>
    <col min="22" max="16384" width="9.140625" style="14"/>
  </cols>
  <sheetData>
    <row r="1" spans="1:21" s="26" customFormat="1" ht="12.6" customHeight="1">
      <c r="A1" s="73" t="s">
        <v>147</v>
      </c>
      <c r="B1" s="46"/>
      <c r="C1" s="9" t="s">
        <v>14</v>
      </c>
      <c r="D1" s="10" t="s">
        <v>14</v>
      </c>
      <c r="E1" s="9"/>
      <c r="F1" s="9" t="s">
        <v>14</v>
      </c>
      <c r="G1" s="47" t="s">
        <v>14</v>
      </c>
      <c r="H1" s="76" t="s">
        <v>14</v>
      </c>
      <c r="I1" s="9" t="s">
        <v>14</v>
      </c>
      <c r="J1" s="9" t="s">
        <v>14</v>
      </c>
      <c r="K1" s="10" t="s">
        <v>14</v>
      </c>
      <c r="L1" s="9" t="s">
        <v>14</v>
      </c>
      <c r="M1" s="25" t="s">
        <v>14</v>
      </c>
      <c r="N1" s="9" t="s">
        <v>14</v>
      </c>
      <c r="O1" s="25" t="s">
        <v>14</v>
      </c>
      <c r="P1" s="9" t="s">
        <v>14</v>
      </c>
      <c r="R1" s="159" t="str">
        <f>i!B3</f>
        <v>.2018-09-01</v>
      </c>
      <c r="S1" s="9"/>
      <c r="T1" s="25" t="s">
        <v>14</v>
      </c>
      <c r="U1" s="9" t="s">
        <v>14</v>
      </c>
    </row>
    <row r="2" spans="1:21" ht="12.6" customHeight="1">
      <c r="A2" s="26" t="str">
        <f>i!A3</f>
        <v>v.34</v>
      </c>
      <c r="F2" s="25"/>
      <c r="G2" s="47"/>
      <c r="H2" s="76"/>
      <c r="I2" s="9"/>
      <c r="J2" s="46"/>
      <c r="K2" s="9"/>
      <c r="L2" s="9"/>
      <c r="M2" s="10"/>
      <c r="N2" s="36"/>
      <c r="O2" s="10"/>
      <c r="P2" s="36"/>
      <c r="Q2" s="10"/>
      <c r="R2" s="36"/>
      <c r="S2" s="36"/>
      <c r="T2" s="10"/>
      <c r="U2" s="36"/>
    </row>
    <row r="3" spans="1:21" s="24" customFormat="1" ht="12.6" customHeight="1">
      <c r="A3" s="26" t="s">
        <v>14</v>
      </c>
      <c r="B3" s="24" t="s">
        <v>14</v>
      </c>
      <c r="C3" s="37" t="s">
        <v>14</v>
      </c>
      <c r="D3" s="119" t="s">
        <v>14</v>
      </c>
      <c r="E3" s="37"/>
      <c r="F3" s="143" t="s">
        <v>14</v>
      </c>
      <c r="G3" s="39" t="s">
        <v>14</v>
      </c>
      <c r="H3" s="39" t="s">
        <v>14</v>
      </c>
      <c r="I3" s="39" t="s">
        <v>14</v>
      </c>
      <c r="J3" s="36" t="s">
        <v>14</v>
      </c>
      <c r="K3" s="39" t="s">
        <v>14</v>
      </c>
      <c r="L3" s="144" t="s">
        <v>14</v>
      </c>
      <c r="M3" s="43" t="s">
        <v>14</v>
      </c>
      <c r="N3" s="43" t="s">
        <v>15</v>
      </c>
      <c r="O3" s="43" t="s">
        <v>14</v>
      </c>
      <c r="P3" s="145" t="s">
        <v>14</v>
      </c>
      <c r="Q3" s="125" t="s">
        <v>14</v>
      </c>
      <c r="R3" s="22" t="s">
        <v>16</v>
      </c>
      <c r="S3" s="36"/>
      <c r="T3" s="43" t="s">
        <v>14</v>
      </c>
      <c r="U3" s="52" t="s">
        <v>14</v>
      </c>
    </row>
    <row r="4" spans="1:21" s="26" customFormat="1" ht="12.6" customHeight="1">
      <c r="A4" s="24" t="s">
        <v>1205</v>
      </c>
      <c r="B4" s="24"/>
      <c r="C4" s="9" t="s">
        <v>4</v>
      </c>
      <c r="D4" s="10" t="s">
        <v>9</v>
      </c>
      <c r="E4" s="9" t="s">
        <v>636</v>
      </c>
      <c r="F4" s="146" t="s">
        <v>11</v>
      </c>
      <c r="G4" s="48" t="s">
        <v>264</v>
      </c>
      <c r="H4" s="124" t="s">
        <v>5</v>
      </c>
      <c r="I4" s="125" t="s">
        <v>298</v>
      </c>
      <c r="J4" s="125" t="s">
        <v>299</v>
      </c>
      <c r="K4" s="78" t="s">
        <v>300</v>
      </c>
      <c r="L4" s="51" t="s">
        <v>450</v>
      </c>
      <c r="M4" s="52"/>
      <c r="N4" s="53" t="s">
        <v>17</v>
      </c>
      <c r="O4" s="36"/>
      <c r="P4" s="147"/>
      <c r="Q4" s="43" t="s">
        <v>451</v>
      </c>
      <c r="R4" s="62"/>
      <c r="S4" s="121"/>
      <c r="T4" s="50" t="s">
        <v>7</v>
      </c>
      <c r="U4" s="50"/>
    </row>
    <row r="5" spans="1:21" s="26" customFormat="1" ht="12.6" customHeight="1">
      <c r="A5" s="119"/>
      <c r="B5" s="57"/>
      <c r="C5" s="36" t="s">
        <v>18</v>
      </c>
      <c r="D5" s="71" t="s">
        <v>14</v>
      </c>
      <c r="E5" s="36"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1" customFormat="1" ht="12.6" customHeight="1">
      <c r="A6" s="137" t="s">
        <v>1011</v>
      </c>
      <c r="B6" s="130"/>
      <c r="C6" s="43" t="s">
        <v>14</v>
      </c>
      <c r="D6" s="152" t="s">
        <v>14</v>
      </c>
      <c r="E6" s="41"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s="21" customFormat="1" ht="11.25">
      <c r="A7" s="26" t="s">
        <v>1010</v>
      </c>
      <c r="B7" s="26" t="s">
        <v>1012</v>
      </c>
      <c r="C7" s="9">
        <v>15</v>
      </c>
      <c r="D7" s="10">
        <v>2.8</v>
      </c>
      <c r="E7" s="9">
        <f t="shared" ref="E7:E19" si="0">C7*1.6</f>
        <v>24</v>
      </c>
      <c r="F7" s="149" t="s">
        <v>445</v>
      </c>
      <c r="G7" s="75">
        <v>0.3</v>
      </c>
      <c r="H7" s="76">
        <v>0.5</v>
      </c>
      <c r="I7" s="9">
        <v>86</v>
      </c>
      <c r="J7" s="165">
        <v>80</v>
      </c>
      <c r="K7" s="50">
        <v>72</v>
      </c>
      <c r="L7" s="65">
        <f>AVERAGE(2499)</f>
        <v>2499</v>
      </c>
      <c r="M7" s="50" t="s">
        <v>1153</v>
      </c>
      <c r="N7" s="9">
        <f>AVERAGE(2823)</f>
        <v>2823</v>
      </c>
      <c r="O7" s="9" t="s">
        <v>952</v>
      </c>
      <c r="P7" s="65">
        <v>2900</v>
      </c>
      <c r="Q7" s="9" t="s">
        <v>1153</v>
      </c>
      <c r="R7" s="50" t="s">
        <v>28</v>
      </c>
      <c r="S7" s="136">
        <v>6300</v>
      </c>
      <c r="T7" s="9" t="s">
        <v>918</v>
      </c>
      <c r="U7" s="50" t="s">
        <v>327</v>
      </c>
    </row>
    <row r="8" spans="1:21" s="21" customFormat="1" ht="11.25">
      <c r="A8" s="26" t="s">
        <v>1010</v>
      </c>
      <c r="B8" s="26" t="s">
        <v>1013</v>
      </c>
      <c r="C8" s="9">
        <v>18</v>
      </c>
      <c r="D8" s="10">
        <v>4</v>
      </c>
      <c r="E8" s="9">
        <f t="shared" si="0"/>
        <v>28.8</v>
      </c>
      <c r="F8" s="149" t="s">
        <v>445</v>
      </c>
      <c r="G8" s="75">
        <v>0.5</v>
      </c>
      <c r="H8" s="76">
        <v>0.32</v>
      </c>
      <c r="I8" s="9">
        <v>47</v>
      </c>
      <c r="J8" s="9">
        <v>65</v>
      </c>
      <c r="K8" s="50">
        <v>58</v>
      </c>
      <c r="L8" s="65">
        <f>AVERAGE(650,700)</f>
        <v>675</v>
      </c>
      <c r="M8" s="50" t="s">
        <v>954</v>
      </c>
      <c r="N8" s="9">
        <f>AVERAGE(800,1000,900,750,743,840)</f>
        <v>838.83333333333337</v>
      </c>
      <c r="O8" s="9" t="s">
        <v>1153</v>
      </c>
      <c r="P8" s="65">
        <v>1000</v>
      </c>
      <c r="Q8" s="9" t="s">
        <v>1153</v>
      </c>
      <c r="R8" s="50" t="s">
        <v>30</v>
      </c>
      <c r="S8" s="65">
        <v>1140</v>
      </c>
      <c r="T8" s="9" t="s">
        <v>1091</v>
      </c>
      <c r="U8" s="50" t="s">
        <v>30</v>
      </c>
    </row>
    <row r="9" spans="1:21" s="21" customFormat="1" ht="11.25">
      <c r="A9" s="26" t="s">
        <v>1010</v>
      </c>
      <c r="B9" s="26" t="s">
        <v>1014</v>
      </c>
      <c r="C9" s="9">
        <v>21</v>
      </c>
      <c r="D9" s="10">
        <v>2.8</v>
      </c>
      <c r="E9" s="9">
        <f t="shared" si="0"/>
        <v>33.6</v>
      </c>
      <c r="F9" s="149" t="s">
        <v>445</v>
      </c>
      <c r="G9" s="75">
        <v>0.5</v>
      </c>
      <c r="H9" s="76">
        <v>0.3</v>
      </c>
      <c r="I9" s="9">
        <v>51</v>
      </c>
      <c r="J9" s="9">
        <v>53</v>
      </c>
      <c r="K9" s="50">
        <v>46</v>
      </c>
      <c r="L9" s="65">
        <f>AVERAGE(650,670,700,698,600,639,729)</f>
        <v>669.42857142857144</v>
      </c>
      <c r="M9" s="50" t="s">
        <v>954</v>
      </c>
      <c r="N9" s="9">
        <f>AVERAGE(918,830,795,820,840,875,900,875,840,820,900,834,799,900)</f>
        <v>853.28571428571433</v>
      </c>
      <c r="O9" s="9" t="s">
        <v>1171</v>
      </c>
      <c r="P9" s="65">
        <v>1100</v>
      </c>
      <c r="Q9" s="9" t="s">
        <v>1153</v>
      </c>
      <c r="R9" s="50" t="s">
        <v>30</v>
      </c>
      <c r="S9" s="65">
        <v>1150</v>
      </c>
      <c r="T9" s="9" t="s">
        <v>1153</v>
      </c>
      <c r="U9" s="50" t="s">
        <v>30</v>
      </c>
    </row>
    <row r="10" spans="1:21" s="21" customFormat="1" ht="11.25">
      <c r="A10" s="26" t="s">
        <v>1010</v>
      </c>
      <c r="B10" s="26" t="s">
        <v>1015</v>
      </c>
      <c r="C10" s="9">
        <v>21</v>
      </c>
      <c r="D10" s="10">
        <v>4.5</v>
      </c>
      <c r="E10" s="9">
        <f t="shared" si="0"/>
        <v>33.6</v>
      </c>
      <c r="F10" s="149" t="s">
        <v>445</v>
      </c>
      <c r="G10" s="75">
        <v>0.5</v>
      </c>
      <c r="H10" s="76">
        <v>0.19</v>
      </c>
      <c r="I10" s="9">
        <v>31</v>
      </c>
      <c r="J10" s="9">
        <v>53</v>
      </c>
      <c r="K10" s="50">
        <v>46</v>
      </c>
      <c r="L10" s="65">
        <f>AVERAGE(540,530,640,630,700)</f>
        <v>608</v>
      </c>
      <c r="M10" s="50" t="s">
        <v>1171</v>
      </c>
      <c r="N10" s="9">
        <f>AVERAGE(830,834,800,775,795,864,809,850,800,795,775,815)</f>
        <v>811.83333333333337</v>
      </c>
      <c r="O10" s="9" t="s">
        <v>1153</v>
      </c>
      <c r="P10" s="65">
        <v>795</v>
      </c>
      <c r="Q10" s="9" t="s">
        <v>954</v>
      </c>
      <c r="R10" s="50" t="s">
        <v>26</v>
      </c>
      <c r="S10" s="65">
        <v>745</v>
      </c>
      <c r="T10" s="9" t="s">
        <v>954</v>
      </c>
      <c r="U10" s="50" t="s">
        <v>26</v>
      </c>
    </row>
    <row r="11" spans="1:21" s="21" customFormat="1" ht="11.25">
      <c r="A11" s="26" t="s">
        <v>1010</v>
      </c>
      <c r="B11" s="26" t="s">
        <v>1016</v>
      </c>
      <c r="C11" s="9">
        <v>25</v>
      </c>
      <c r="D11" s="10">
        <v>2.8</v>
      </c>
      <c r="E11" s="9">
        <f t="shared" si="0"/>
        <v>40</v>
      </c>
      <c r="F11" s="149" t="s">
        <v>445</v>
      </c>
      <c r="G11" s="75">
        <v>0.5</v>
      </c>
      <c r="H11" s="76">
        <v>0.26</v>
      </c>
      <c r="I11" s="9">
        <v>47</v>
      </c>
      <c r="J11" s="165">
        <v>53</v>
      </c>
      <c r="K11" s="50">
        <v>46</v>
      </c>
      <c r="L11" s="65">
        <f>AVERAGE(457,585,503,610)</f>
        <v>538.75</v>
      </c>
      <c r="M11" s="50" t="s">
        <v>1171</v>
      </c>
      <c r="N11" s="9">
        <f>AVERAGE(670,725,695,740,670,688,720,688,769,670,698,695,730)</f>
        <v>704.46153846153845</v>
      </c>
      <c r="O11" s="9" t="s">
        <v>1171</v>
      </c>
      <c r="P11" s="65">
        <v>890</v>
      </c>
      <c r="Q11" s="9" t="s">
        <v>1153</v>
      </c>
      <c r="R11" s="50" t="s">
        <v>31</v>
      </c>
      <c r="S11" s="136">
        <v>1201</v>
      </c>
      <c r="T11" s="9" t="s">
        <v>892</v>
      </c>
      <c r="U11" s="50" t="s">
        <v>30</v>
      </c>
    </row>
    <row r="12" spans="1:21" s="21" customFormat="1" ht="11.25">
      <c r="A12" s="26" t="s">
        <v>1010</v>
      </c>
      <c r="B12" s="26" t="s">
        <v>1017</v>
      </c>
      <c r="C12" s="9">
        <v>28</v>
      </c>
      <c r="D12" s="10">
        <v>2.8</v>
      </c>
      <c r="E12" s="9">
        <f t="shared" si="0"/>
        <v>44.800000000000004</v>
      </c>
      <c r="F12" s="149" t="s">
        <v>445</v>
      </c>
      <c r="G12" s="75">
        <v>0.5</v>
      </c>
      <c r="H12" s="76">
        <v>0.22</v>
      </c>
      <c r="I12" s="9">
        <v>51</v>
      </c>
      <c r="J12" s="165">
        <v>53</v>
      </c>
      <c r="K12" s="50">
        <v>46</v>
      </c>
      <c r="L12" s="65">
        <f>AVERAGE(584,695,584,638,626,642,690,698,695,626,637,660)</f>
        <v>647.91666666666663</v>
      </c>
      <c r="M12" s="50" t="s">
        <v>1171</v>
      </c>
      <c r="N12" s="9">
        <f>AVERAGE(720,719,760,740,745,688,725,720)</f>
        <v>727.125</v>
      </c>
      <c r="O12" s="9" t="s">
        <v>1171</v>
      </c>
      <c r="P12" s="65">
        <v>792</v>
      </c>
      <c r="Q12" s="9" t="s">
        <v>954</v>
      </c>
      <c r="R12" s="50" t="s">
        <v>28</v>
      </c>
      <c r="S12" s="65">
        <v>1050</v>
      </c>
      <c r="T12" s="9" t="s">
        <v>1153</v>
      </c>
      <c r="U12" s="50" t="s">
        <v>30</v>
      </c>
    </row>
    <row r="13" spans="1:21" s="21" customFormat="1" ht="11.25">
      <c r="A13" s="26" t="s">
        <v>1010</v>
      </c>
      <c r="B13" s="26" t="s">
        <v>1063</v>
      </c>
      <c r="C13" s="9">
        <v>35</v>
      </c>
      <c r="D13" s="10">
        <v>1.4</v>
      </c>
      <c r="E13" s="9">
        <f t="shared" si="0"/>
        <v>56</v>
      </c>
      <c r="F13" s="149" t="s">
        <v>445</v>
      </c>
      <c r="G13" s="75">
        <v>0.7</v>
      </c>
      <c r="H13" s="76">
        <v>0.38100000000000001</v>
      </c>
      <c r="I13" s="9">
        <v>65.2</v>
      </c>
      <c r="J13" s="165">
        <v>63.2</v>
      </c>
      <c r="K13" s="50">
        <v>49</v>
      </c>
      <c r="L13" s="65">
        <f>AVERAGE(1420,1394)</f>
        <v>1407</v>
      </c>
      <c r="M13" s="50" t="s">
        <v>1171</v>
      </c>
      <c r="N13" s="9">
        <f>AVERAGE(1806,1880)</f>
        <v>1843</v>
      </c>
      <c r="O13" s="9" t="s">
        <v>1153</v>
      </c>
      <c r="P13" s="65" t="s">
        <v>14</v>
      </c>
      <c r="Q13" s="9" t="s">
        <v>14</v>
      </c>
      <c r="R13" s="50" t="s">
        <v>14</v>
      </c>
      <c r="S13" s="65">
        <v>2000</v>
      </c>
      <c r="T13" s="9" t="s">
        <v>1153</v>
      </c>
      <c r="U13" s="50" t="s">
        <v>31</v>
      </c>
    </row>
    <row r="14" spans="1:21" s="21" customFormat="1" ht="11.25">
      <c r="A14" s="26" t="s">
        <v>1010</v>
      </c>
      <c r="B14" s="26" t="s">
        <v>1018</v>
      </c>
      <c r="C14" s="9">
        <v>35</v>
      </c>
      <c r="D14" s="10">
        <v>2</v>
      </c>
      <c r="E14" s="9">
        <f t="shared" si="0"/>
        <v>56</v>
      </c>
      <c r="F14" s="149" t="s">
        <v>445</v>
      </c>
      <c r="G14" s="75">
        <v>0.7</v>
      </c>
      <c r="H14" s="76">
        <v>0.24</v>
      </c>
      <c r="I14" s="9">
        <v>44</v>
      </c>
      <c r="J14" s="165">
        <v>53</v>
      </c>
      <c r="K14" s="50">
        <v>43</v>
      </c>
      <c r="L14" s="65">
        <f>AVERAGE(650,645,582,540,488,550,536)</f>
        <v>570.14285714285711</v>
      </c>
      <c r="M14" s="50" t="s">
        <v>1171</v>
      </c>
      <c r="N14" s="9">
        <f>AVERAGE(753,695,875,700,874,730,675,650,735,738,778,699,698,759)</f>
        <v>739.92857142857144</v>
      </c>
      <c r="O14" s="9" t="s">
        <v>1171</v>
      </c>
      <c r="P14" s="65">
        <v>810</v>
      </c>
      <c r="Q14" s="9" t="s">
        <v>1153</v>
      </c>
      <c r="R14" s="50" t="s">
        <v>31</v>
      </c>
      <c r="S14" s="65">
        <v>750</v>
      </c>
      <c r="T14" s="9" t="s">
        <v>954</v>
      </c>
      <c r="U14" s="50" t="s">
        <v>26</v>
      </c>
    </row>
    <row r="15" spans="1:21" s="21" customFormat="1" ht="11.25">
      <c r="A15" s="26" t="s">
        <v>1010</v>
      </c>
      <c r="B15" s="26" t="s">
        <v>1064</v>
      </c>
      <c r="C15" s="9">
        <v>35</v>
      </c>
      <c r="D15" s="10">
        <v>2.8</v>
      </c>
      <c r="E15" s="9">
        <f t="shared" si="0"/>
        <v>56</v>
      </c>
      <c r="F15" s="149" t="s">
        <v>445</v>
      </c>
      <c r="G15" s="75">
        <v>0.7</v>
      </c>
      <c r="H15" s="76">
        <v>0.2</v>
      </c>
      <c r="I15" s="9">
        <v>33</v>
      </c>
      <c r="J15" s="165">
        <v>52</v>
      </c>
      <c r="K15" s="50">
        <v>43</v>
      </c>
      <c r="L15" s="65">
        <f>AVERAGE(569,500,511,590)</f>
        <v>542.5</v>
      </c>
      <c r="M15" s="50" t="s">
        <v>1153</v>
      </c>
      <c r="N15" s="9">
        <f>AVERAGE(610,695,605,640,700,625,675,650,688,639,659)</f>
        <v>653.27272727272725</v>
      </c>
      <c r="O15" s="9" t="s">
        <v>1171</v>
      </c>
      <c r="P15" s="65">
        <v>650</v>
      </c>
      <c r="Q15" s="9" t="s">
        <v>1153</v>
      </c>
      <c r="R15" s="50" t="s">
        <v>26</v>
      </c>
      <c r="S15" s="65">
        <v>800</v>
      </c>
      <c r="T15" s="9" t="s">
        <v>1091</v>
      </c>
      <c r="U15" s="50" t="s">
        <v>30</v>
      </c>
    </row>
    <row r="16" spans="1:21" s="21" customFormat="1" ht="11.25">
      <c r="A16" s="26" t="s">
        <v>1010</v>
      </c>
      <c r="B16" s="26" t="s">
        <v>1065</v>
      </c>
      <c r="C16" s="9">
        <v>50</v>
      </c>
      <c r="D16" s="10">
        <v>1.5</v>
      </c>
      <c r="E16" s="9">
        <f t="shared" si="0"/>
        <v>80</v>
      </c>
      <c r="F16" s="149" t="s">
        <v>445</v>
      </c>
      <c r="G16" s="75">
        <v>0.9</v>
      </c>
      <c r="H16" s="76">
        <v>0.25</v>
      </c>
      <c r="I16" s="9">
        <v>45</v>
      </c>
      <c r="J16" s="9">
        <v>56</v>
      </c>
      <c r="K16" s="50">
        <v>46</v>
      </c>
      <c r="L16" s="65">
        <f>AVERAGE(660,653,700,770,665,602,646)</f>
        <v>670.85714285714289</v>
      </c>
      <c r="M16" s="50" t="s">
        <v>1171</v>
      </c>
      <c r="N16" s="9">
        <f>AVERAGE(964,900,928,895,930,850,750,810,810,810)</f>
        <v>864.7</v>
      </c>
      <c r="O16" s="9" t="s">
        <v>1171</v>
      </c>
      <c r="P16" s="65" t="s">
        <v>14</v>
      </c>
      <c r="Q16" s="9" t="s">
        <v>14</v>
      </c>
      <c r="R16" s="50" t="s">
        <v>14</v>
      </c>
      <c r="S16" s="65">
        <v>960</v>
      </c>
      <c r="T16" s="9" t="s">
        <v>1153</v>
      </c>
      <c r="U16" s="50" t="s">
        <v>31</v>
      </c>
    </row>
    <row r="17" spans="1:21" s="21" customFormat="1" ht="11.25">
      <c r="A17" s="26" t="s">
        <v>1010</v>
      </c>
      <c r="B17" s="26" t="s">
        <v>1019</v>
      </c>
      <c r="C17" s="9">
        <v>50</v>
      </c>
      <c r="D17" s="10">
        <v>2</v>
      </c>
      <c r="E17" s="9">
        <f t="shared" si="0"/>
        <v>80</v>
      </c>
      <c r="F17" s="149" t="s">
        <v>445</v>
      </c>
      <c r="G17" s="75">
        <v>0.15</v>
      </c>
      <c r="H17" s="76">
        <v>0.28999999999999998</v>
      </c>
      <c r="I17" s="9">
        <v>43</v>
      </c>
      <c r="J17" s="9">
        <v>52</v>
      </c>
      <c r="K17" s="50">
        <v>43</v>
      </c>
      <c r="L17" s="65">
        <f>AVERAGE(575,470,550,447,448,565,532,530,500,496,500)</f>
        <v>510.27272727272725</v>
      </c>
      <c r="M17" s="50" t="s">
        <v>1171</v>
      </c>
      <c r="N17" s="9">
        <f>AVERAGE(659,675,678,650,628,600,598,623,614,628,599,630,595)</f>
        <v>629</v>
      </c>
      <c r="O17" s="9" t="s">
        <v>1171</v>
      </c>
      <c r="P17" s="65">
        <v>710</v>
      </c>
      <c r="Q17" s="9" t="s">
        <v>1153</v>
      </c>
      <c r="R17" s="50" t="s">
        <v>31</v>
      </c>
      <c r="S17" s="65">
        <v>760</v>
      </c>
      <c r="T17" s="9" t="s">
        <v>1091</v>
      </c>
      <c r="U17" s="50" t="s">
        <v>30</v>
      </c>
    </row>
    <row r="18" spans="1:21" s="21" customFormat="1" ht="11.25">
      <c r="A18" s="26" t="s">
        <v>1010</v>
      </c>
      <c r="B18" s="26" t="s">
        <v>1165</v>
      </c>
      <c r="C18" s="9">
        <v>85</v>
      </c>
      <c r="D18" s="10">
        <v>2</v>
      </c>
      <c r="E18" s="9">
        <f t="shared" si="0"/>
        <v>136</v>
      </c>
      <c r="F18" s="149" t="s">
        <v>445</v>
      </c>
      <c r="G18" s="75" t="s">
        <v>14</v>
      </c>
      <c r="H18" s="76" t="s">
        <v>14</v>
      </c>
      <c r="I18" s="9"/>
      <c r="J18" s="9"/>
      <c r="K18" s="50"/>
      <c r="L18" s="65">
        <f t="shared" ref="L18" si="1">AVERAGE(0)</f>
        <v>0</v>
      </c>
      <c r="M18" s="50"/>
      <c r="N18" s="9">
        <f>AVERAGE(3900)</f>
        <v>3900</v>
      </c>
      <c r="O18" s="9" t="s">
        <v>1171</v>
      </c>
      <c r="P18" s="65"/>
      <c r="Q18" s="9"/>
      <c r="R18" s="50"/>
      <c r="S18" s="65"/>
      <c r="T18" s="9"/>
      <c r="U18" s="50"/>
    </row>
    <row r="19" spans="1:21" s="21" customFormat="1" ht="12.6" customHeight="1">
      <c r="A19" s="57" t="s">
        <v>1010</v>
      </c>
      <c r="B19" s="67" t="s">
        <v>1020</v>
      </c>
      <c r="C19" s="36">
        <v>85</v>
      </c>
      <c r="D19" s="41">
        <v>4</v>
      </c>
      <c r="E19" s="36">
        <f t="shared" si="0"/>
        <v>136</v>
      </c>
      <c r="F19" s="149" t="s">
        <v>445</v>
      </c>
      <c r="G19" s="59">
        <v>0.15</v>
      </c>
      <c r="H19" s="40">
        <v>0.28999999999999998</v>
      </c>
      <c r="I19" s="36">
        <v>69</v>
      </c>
      <c r="J19" s="36">
        <v>54</v>
      </c>
      <c r="K19" s="52">
        <v>52</v>
      </c>
      <c r="L19" s="61">
        <f>AVERAGE(585,513,450,640,640)</f>
        <v>565.6</v>
      </c>
      <c r="M19" s="52" t="s">
        <v>1171</v>
      </c>
      <c r="N19" s="36">
        <f>AVERAGE(650,675,650,759)</f>
        <v>683.5</v>
      </c>
      <c r="O19" s="52" t="s">
        <v>1153</v>
      </c>
      <c r="P19" s="61">
        <v>720</v>
      </c>
      <c r="Q19" s="36" t="s">
        <v>892</v>
      </c>
      <c r="R19" s="52" t="s">
        <v>30</v>
      </c>
      <c r="S19" s="151">
        <v>888.44</v>
      </c>
      <c r="T19" s="36" t="s">
        <v>954</v>
      </c>
      <c r="U19" s="52" t="s">
        <v>327</v>
      </c>
    </row>
    <row r="20" spans="1:21" s="21" customFormat="1" ht="12.6" customHeight="1">
      <c r="A20" s="137" t="s">
        <v>1021</v>
      </c>
      <c r="B20" s="130"/>
      <c r="C20" s="43" t="s">
        <v>14</v>
      </c>
      <c r="D20" s="131" t="s">
        <v>14</v>
      </c>
      <c r="E20" s="43" t="s">
        <v>14</v>
      </c>
      <c r="F20" s="135" t="s">
        <v>14</v>
      </c>
      <c r="G20" s="138" t="s">
        <v>14</v>
      </c>
      <c r="H20" s="134" t="s">
        <v>14</v>
      </c>
      <c r="I20" s="43" t="s">
        <v>14</v>
      </c>
      <c r="J20" s="43" t="s">
        <v>14</v>
      </c>
      <c r="K20" s="43" t="s">
        <v>14</v>
      </c>
      <c r="L20" s="43" t="s">
        <v>14</v>
      </c>
      <c r="M20" s="43" t="s">
        <v>14</v>
      </c>
      <c r="N20" s="43" t="s">
        <v>14</v>
      </c>
      <c r="O20" s="43" t="s">
        <v>14</v>
      </c>
      <c r="P20" s="43" t="s">
        <v>14</v>
      </c>
      <c r="Q20" s="43" t="s">
        <v>14</v>
      </c>
      <c r="R20" s="43" t="s">
        <v>14</v>
      </c>
      <c r="S20" s="43" t="s">
        <v>14</v>
      </c>
      <c r="T20" s="43" t="s">
        <v>14</v>
      </c>
      <c r="U20" s="43" t="s">
        <v>14</v>
      </c>
    </row>
    <row r="21" spans="1:21" s="21" customFormat="1" ht="12.6" customHeight="1">
      <c r="A21" s="26" t="s">
        <v>1022</v>
      </c>
      <c r="B21" s="26" t="s">
        <v>1162</v>
      </c>
      <c r="C21" s="9">
        <v>19</v>
      </c>
      <c r="D21" s="10">
        <v>3.5</v>
      </c>
      <c r="E21" s="9">
        <f>C21*1.6</f>
        <v>30.400000000000002</v>
      </c>
      <c r="F21" s="149" t="s">
        <v>446</v>
      </c>
      <c r="G21" s="75">
        <v>0.5</v>
      </c>
      <c r="H21" s="76">
        <v>0.2</v>
      </c>
      <c r="I21" s="9">
        <v>30.5</v>
      </c>
      <c r="J21" s="9">
        <v>58.6</v>
      </c>
      <c r="K21" s="50">
        <v>55</v>
      </c>
      <c r="L21" s="9">
        <f>AVERAGE(599)</f>
        <v>599</v>
      </c>
      <c r="M21" s="50" t="s">
        <v>925</v>
      </c>
      <c r="N21" s="9">
        <f>AVERAGE(1400)</f>
        <v>1400</v>
      </c>
      <c r="O21" s="9" t="s">
        <v>1171</v>
      </c>
      <c r="P21" s="65" t="s">
        <v>14</v>
      </c>
      <c r="Q21" s="9" t="s">
        <v>14</v>
      </c>
      <c r="R21" s="50" t="s">
        <v>14</v>
      </c>
      <c r="S21" s="65">
        <v>2000</v>
      </c>
      <c r="T21" s="9" t="s">
        <v>918</v>
      </c>
      <c r="U21" s="50" t="s">
        <v>474</v>
      </c>
    </row>
    <row r="22" spans="1:21" s="21" customFormat="1" ht="12.6" customHeight="1">
      <c r="A22" s="26" t="s">
        <v>1022</v>
      </c>
      <c r="B22" s="26" t="s">
        <v>1066</v>
      </c>
      <c r="C22" s="9">
        <v>25</v>
      </c>
      <c r="D22" s="10">
        <v>3.5</v>
      </c>
      <c r="E22" s="9">
        <f t="shared" ref="E22:E41" si="2">C22*1.6</f>
        <v>40</v>
      </c>
      <c r="F22" s="149" t="s">
        <v>446</v>
      </c>
      <c r="G22" s="75">
        <v>1</v>
      </c>
      <c r="H22" s="76">
        <v>0.14499999999999999</v>
      </c>
      <c r="I22" s="9">
        <v>15</v>
      </c>
      <c r="J22" s="9">
        <v>48</v>
      </c>
      <c r="K22" s="50">
        <v>40</v>
      </c>
      <c r="L22" s="9">
        <f>AVERAGE(350,398,480)</f>
        <v>409.33333333333331</v>
      </c>
      <c r="M22" s="50" t="s">
        <v>1118</v>
      </c>
      <c r="N22" s="9">
        <f>AVERAGE(499,629,680)</f>
        <v>602.66666666666663</v>
      </c>
      <c r="O22" s="9" t="s">
        <v>1153</v>
      </c>
      <c r="P22" s="65" t="s">
        <v>14</v>
      </c>
      <c r="Q22" s="9" t="s">
        <v>14</v>
      </c>
      <c r="R22" s="50" t="s">
        <v>14</v>
      </c>
      <c r="S22" s="65" t="s">
        <v>14</v>
      </c>
      <c r="T22" s="9" t="s">
        <v>14</v>
      </c>
      <c r="U22" s="50" t="s">
        <v>14</v>
      </c>
    </row>
    <row r="23" spans="1:21" s="21" customFormat="1" ht="12.6" customHeight="1">
      <c r="A23" s="26" t="s">
        <v>1022</v>
      </c>
      <c r="B23" s="26" t="s">
        <v>1160</v>
      </c>
      <c r="C23" s="9">
        <v>28</v>
      </c>
      <c r="D23" s="10">
        <v>2.8</v>
      </c>
      <c r="E23" s="9">
        <f t="shared" si="2"/>
        <v>44.800000000000004</v>
      </c>
      <c r="F23" s="149" t="s">
        <v>446</v>
      </c>
      <c r="G23" s="75">
        <v>1</v>
      </c>
      <c r="H23" s="76">
        <v>0.16</v>
      </c>
      <c r="I23" s="9">
        <v>20</v>
      </c>
      <c r="J23" s="9">
        <v>48</v>
      </c>
      <c r="K23" s="50">
        <v>40</v>
      </c>
      <c r="L23" s="9">
        <f>AVERAGE(288,290,374)</f>
        <v>317.33333333333331</v>
      </c>
      <c r="M23" s="50" t="s">
        <v>1171</v>
      </c>
      <c r="N23" s="9">
        <f>AVERAGE(530,530,525)</f>
        <v>528.33333333333337</v>
      </c>
      <c r="O23" s="9" t="s">
        <v>1171</v>
      </c>
      <c r="P23" s="65" t="s">
        <v>14</v>
      </c>
      <c r="Q23" s="9" t="s">
        <v>14</v>
      </c>
      <c r="R23" s="50" t="s">
        <v>14</v>
      </c>
      <c r="S23" s="65" t="s">
        <v>14</v>
      </c>
      <c r="T23" s="9" t="s">
        <v>14</v>
      </c>
      <c r="U23" s="50" t="s">
        <v>14</v>
      </c>
    </row>
    <row r="24" spans="1:21" s="21" customFormat="1" ht="12.6" customHeight="1">
      <c r="A24" s="26" t="s">
        <v>1022</v>
      </c>
      <c r="B24" s="26" t="s">
        <v>1161</v>
      </c>
      <c r="C24" s="9">
        <v>28</v>
      </c>
      <c r="D24" s="10">
        <v>3.5</v>
      </c>
      <c r="E24" s="9">
        <f t="shared" si="2"/>
        <v>44.800000000000004</v>
      </c>
      <c r="F24" s="149" t="s">
        <v>446</v>
      </c>
      <c r="G24" s="75">
        <v>1</v>
      </c>
      <c r="H24" s="76">
        <v>0.12</v>
      </c>
      <c r="I24" s="9">
        <v>24.7</v>
      </c>
      <c r="J24" s="9">
        <v>48</v>
      </c>
      <c r="K24" s="50">
        <v>40</v>
      </c>
      <c r="L24" s="9">
        <f>AVERAGE(429,405)</f>
        <v>417</v>
      </c>
      <c r="M24" s="50" t="s">
        <v>1118</v>
      </c>
      <c r="N24" s="9">
        <f>AVERAGE(580)</f>
        <v>580</v>
      </c>
      <c r="O24" s="9" t="s">
        <v>954</v>
      </c>
      <c r="P24" s="65" t="s">
        <v>14</v>
      </c>
      <c r="Q24" s="9" t="s">
        <v>14</v>
      </c>
      <c r="R24" s="50" t="s">
        <v>14</v>
      </c>
      <c r="S24" s="65" t="s">
        <v>14</v>
      </c>
      <c r="T24" s="9" t="s">
        <v>14</v>
      </c>
      <c r="U24" s="50" t="s">
        <v>14</v>
      </c>
    </row>
    <row r="25" spans="1:21" s="21" customFormat="1" ht="12.6" customHeight="1">
      <c r="A25" s="26" t="s">
        <v>1022</v>
      </c>
      <c r="B25" s="26" t="s">
        <v>1067</v>
      </c>
      <c r="C25" s="9">
        <v>35</v>
      </c>
      <c r="D25" s="10">
        <v>1.5</v>
      </c>
      <c r="E25" s="9">
        <f t="shared" si="2"/>
        <v>56</v>
      </c>
      <c r="F25" s="149" t="s">
        <v>446</v>
      </c>
      <c r="G25" s="75">
        <v>1</v>
      </c>
      <c r="H25" s="76">
        <v>0.185</v>
      </c>
      <c r="I25" s="9">
        <v>29</v>
      </c>
      <c r="J25" s="9">
        <v>56</v>
      </c>
      <c r="K25" s="50">
        <v>48</v>
      </c>
      <c r="L25" s="9">
        <f>AVERAGE(1050,787,599)</f>
        <v>812</v>
      </c>
      <c r="M25" s="50" t="s">
        <v>1171</v>
      </c>
      <c r="N25" s="9">
        <f>AVERAGE(1300,1115)</f>
        <v>1207.5</v>
      </c>
      <c r="O25" s="9" t="s">
        <v>1171</v>
      </c>
      <c r="P25" s="65" t="s">
        <v>14</v>
      </c>
      <c r="Q25" s="9" t="s">
        <v>14</v>
      </c>
      <c r="R25" s="50" t="s">
        <v>14</v>
      </c>
      <c r="S25" s="65" t="s">
        <v>14</v>
      </c>
      <c r="T25" s="9" t="s">
        <v>14</v>
      </c>
      <c r="U25" s="50" t="s">
        <v>14</v>
      </c>
    </row>
    <row r="26" spans="1:21" s="21" customFormat="1" ht="12.6" customHeight="1">
      <c r="A26" s="26" t="s">
        <v>1022</v>
      </c>
      <c r="B26" s="26" t="s">
        <v>1068</v>
      </c>
      <c r="C26" s="9">
        <v>35</v>
      </c>
      <c r="D26" s="10">
        <v>1.8</v>
      </c>
      <c r="E26" s="9">
        <f t="shared" si="2"/>
        <v>56</v>
      </c>
      <c r="F26" s="149" t="s">
        <v>446</v>
      </c>
      <c r="G26" s="75">
        <v>1</v>
      </c>
      <c r="H26" s="76">
        <v>0.125</v>
      </c>
      <c r="I26" s="9">
        <v>28.2</v>
      </c>
      <c r="J26" s="9">
        <v>48</v>
      </c>
      <c r="K26" s="50">
        <v>40</v>
      </c>
      <c r="L26" s="9">
        <f>AVERAGE(295,328,285,369,320,285,318,265,235,320,239)</f>
        <v>296.27272727272725</v>
      </c>
      <c r="M26" s="50" t="s">
        <v>1153</v>
      </c>
      <c r="N26" s="9">
        <f>AVERAGE(450,369,450,390,370,447,429)</f>
        <v>415</v>
      </c>
      <c r="O26" s="9" t="s">
        <v>1153</v>
      </c>
      <c r="P26" s="65">
        <v>487</v>
      </c>
      <c r="Q26" s="9" t="s">
        <v>723</v>
      </c>
      <c r="R26" s="50" t="s">
        <v>28</v>
      </c>
      <c r="S26" s="65">
        <v>550</v>
      </c>
      <c r="T26" s="9" t="s">
        <v>892</v>
      </c>
      <c r="U26" s="50" t="s">
        <v>400</v>
      </c>
    </row>
    <row r="27" spans="1:21" ht="12.6" customHeight="1">
      <c r="A27" s="73" t="s">
        <v>1022</v>
      </c>
      <c r="B27" s="73" t="s">
        <v>1069</v>
      </c>
      <c r="C27" s="9">
        <v>35</v>
      </c>
      <c r="D27" s="10">
        <v>2</v>
      </c>
      <c r="E27" s="9">
        <f t="shared" si="2"/>
        <v>56</v>
      </c>
      <c r="F27" s="64" t="s">
        <v>446</v>
      </c>
      <c r="G27" s="75">
        <v>1</v>
      </c>
      <c r="H27" s="76">
        <v>0.107</v>
      </c>
      <c r="I27" s="9">
        <v>28</v>
      </c>
      <c r="J27" s="9">
        <v>49</v>
      </c>
      <c r="K27" s="50">
        <v>40</v>
      </c>
      <c r="L27" s="65">
        <f>AVERAGE(310,349,250,306,298,374,322,296,312,379,350,322,311)</f>
        <v>321.46153846153845</v>
      </c>
      <c r="M27" s="50" t="s">
        <v>1153</v>
      </c>
      <c r="N27" s="9">
        <f>AVERAGE(499,400,419,439,419,430,389,445,442,379,399,420,425,487)</f>
        <v>428</v>
      </c>
      <c r="O27" s="10" t="s">
        <v>1171</v>
      </c>
      <c r="P27" s="65">
        <v>262</v>
      </c>
      <c r="Q27" s="10" t="s">
        <v>954</v>
      </c>
      <c r="R27" s="50" t="s">
        <v>537</v>
      </c>
      <c r="S27" s="65">
        <v>395</v>
      </c>
      <c r="T27" s="10" t="s">
        <v>619</v>
      </c>
      <c r="U27" s="50" t="s">
        <v>26</v>
      </c>
    </row>
    <row r="28" spans="1:21" ht="12.6" customHeight="1">
      <c r="A28" s="73" t="s">
        <v>1022</v>
      </c>
      <c r="B28" s="73" t="s">
        <v>1070</v>
      </c>
      <c r="C28" s="9">
        <v>35</v>
      </c>
      <c r="D28" s="10">
        <v>2.8</v>
      </c>
      <c r="E28" s="9">
        <f t="shared" si="2"/>
        <v>56</v>
      </c>
      <c r="F28" s="64" t="s">
        <v>446</v>
      </c>
      <c r="G28" s="75">
        <v>1</v>
      </c>
      <c r="H28" s="76">
        <v>0.125</v>
      </c>
      <c r="I28" s="9">
        <v>30.2</v>
      </c>
      <c r="J28" s="9">
        <v>48</v>
      </c>
      <c r="K28" s="50">
        <v>40</v>
      </c>
      <c r="L28" s="65">
        <f>AVERAGE(200,237,200,210,222,227,200,200,180)</f>
        <v>208.44444444444446</v>
      </c>
      <c r="M28" s="50" t="s">
        <v>1171</v>
      </c>
      <c r="N28" s="9">
        <f>AVERAGE(330,360,240,237,234,259)</f>
        <v>276.66666666666669</v>
      </c>
      <c r="O28" s="10" t="s">
        <v>1153</v>
      </c>
      <c r="P28" s="65">
        <v>295</v>
      </c>
      <c r="Q28" s="10" t="s">
        <v>1153</v>
      </c>
      <c r="R28" s="50" t="s">
        <v>26</v>
      </c>
      <c r="S28" s="65" t="s">
        <v>14</v>
      </c>
      <c r="T28" s="10" t="s">
        <v>14</v>
      </c>
      <c r="U28" s="50" t="s">
        <v>14</v>
      </c>
    </row>
    <row r="29" spans="1:21" s="21" customFormat="1" ht="12.6" customHeight="1">
      <c r="A29" s="26" t="s">
        <v>1022</v>
      </c>
      <c r="B29" s="26" t="s">
        <v>1071</v>
      </c>
      <c r="C29" s="9">
        <v>50</v>
      </c>
      <c r="D29" s="10">
        <v>0.95</v>
      </c>
      <c r="E29" s="9">
        <f t="shared" si="2"/>
        <v>80</v>
      </c>
      <c r="F29" s="149" t="s">
        <v>446</v>
      </c>
      <c r="G29" s="75">
        <v>1.1000000000000001</v>
      </c>
      <c r="H29" s="76">
        <v>0.60499999999999998</v>
      </c>
      <c r="I29" s="9">
        <v>47.8</v>
      </c>
      <c r="J29" s="9">
        <v>79</v>
      </c>
      <c r="K29" s="50">
        <v>72</v>
      </c>
      <c r="L29" s="9">
        <f>AVERAGE(1875,2380,2022,2050,2339,1925,2250,2001,2100,2150,1800)</f>
        <v>2081.090909090909</v>
      </c>
      <c r="M29" s="50" t="s">
        <v>1153</v>
      </c>
      <c r="N29" s="9">
        <f>AVERAGE(2699,3200,2980,3200,2500,2638,3240,2375,2151,2399,3278,3000,2895)</f>
        <v>2811.9230769230771</v>
      </c>
      <c r="O29" s="9" t="s">
        <v>1153</v>
      </c>
      <c r="P29" s="65">
        <v>1725</v>
      </c>
      <c r="Q29" s="9" t="s">
        <v>577</v>
      </c>
      <c r="R29" s="50" t="s">
        <v>26</v>
      </c>
      <c r="S29" s="65">
        <v>2400</v>
      </c>
      <c r="T29" s="9" t="s">
        <v>685</v>
      </c>
      <c r="U29" s="50" t="s">
        <v>400</v>
      </c>
    </row>
    <row r="30" spans="1:21" s="21" customFormat="1" ht="12.6" customHeight="1">
      <c r="A30" s="26" t="s">
        <v>1022</v>
      </c>
      <c r="B30" s="26" t="s">
        <v>1072</v>
      </c>
      <c r="C30" s="9">
        <v>50</v>
      </c>
      <c r="D30" s="10">
        <v>1.2</v>
      </c>
      <c r="E30" s="9">
        <f t="shared" si="2"/>
        <v>80</v>
      </c>
      <c r="F30" s="149" t="s">
        <v>446</v>
      </c>
      <c r="G30" s="75">
        <v>1.1000000000000001</v>
      </c>
      <c r="H30" s="76">
        <v>0.32500000000000001</v>
      </c>
      <c r="I30" s="9">
        <v>39</v>
      </c>
      <c r="J30" s="9">
        <v>62</v>
      </c>
      <c r="K30" s="50">
        <v>55</v>
      </c>
      <c r="L30" s="9">
        <f>AVERAGE(355,350,395,377,363,465,410,335,434,400,385,412)</f>
        <v>390.08333333333331</v>
      </c>
      <c r="M30" s="50" t="s">
        <v>1153</v>
      </c>
      <c r="N30" s="9">
        <f>AVERAGE(501,510,516,645,500,637,549,449,498,650,578,500)</f>
        <v>544.41666666666663</v>
      </c>
      <c r="O30" s="9" t="s">
        <v>1091</v>
      </c>
      <c r="P30" s="65">
        <v>420</v>
      </c>
      <c r="Q30" s="9" t="s">
        <v>1153</v>
      </c>
      <c r="R30" s="50" t="s">
        <v>26</v>
      </c>
      <c r="S30" s="65">
        <v>900</v>
      </c>
      <c r="T30" s="9" t="s">
        <v>892</v>
      </c>
      <c r="U30" s="50" t="s">
        <v>400</v>
      </c>
    </row>
    <row r="31" spans="1:21" ht="12.6" customHeight="1">
      <c r="A31" s="73" t="s">
        <v>1022</v>
      </c>
      <c r="B31" s="73" t="s">
        <v>1073</v>
      </c>
      <c r="C31" s="9">
        <v>50</v>
      </c>
      <c r="D31" s="10">
        <v>1.4</v>
      </c>
      <c r="E31" s="9">
        <f t="shared" si="2"/>
        <v>80</v>
      </c>
      <c r="F31" s="64" t="s">
        <v>446</v>
      </c>
      <c r="G31" s="75">
        <v>1</v>
      </c>
      <c r="H31" s="76">
        <v>0.246</v>
      </c>
      <c r="I31" s="9">
        <v>41.7</v>
      </c>
      <c r="J31" s="9">
        <v>55</v>
      </c>
      <c r="K31" s="50">
        <v>48</v>
      </c>
      <c r="L31" s="65">
        <f>AVERAGE(228,225,203,230,219,204,240,250,330,210,178,216)</f>
        <v>227.75</v>
      </c>
      <c r="M31" s="50" t="s">
        <v>1171</v>
      </c>
      <c r="N31" s="9">
        <f>AVERAGE(299,320,249,360,330,259,349,300,374,380,327)</f>
        <v>322.45454545454544</v>
      </c>
      <c r="O31" s="10" t="s">
        <v>1171</v>
      </c>
      <c r="P31" s="65">
        <v>345</v>
      </c>
      <c r="Q31" s="10" t="s">
        <v>1153</v>
      </c>
      <c r="R31" s="50" t="s">
        <v>26</v>
      </c>
      <c r="S31" s="65">
        <v>685</v>
      </c>
      <c r="T31" s="10" t="s">
        <v>892</v>
      </c>
      <c r="U31" s="50" t="s">
        <v>400</v>
      </c>
    </row>
    <row r="32" spans="1:21" s="21" customFormat="1" ht="12.6" customHeight="1">
      <c r="A32" s="26" t="s">
        <v>1022</v>
      </c>
      <c r="B32" s="26" t="s">
        <v>1023</v>
      </c>
      <c r="C32" s="9">
        <v>50</v>
      </c>
      <c r="D32" s="10">
        <v>1.5</v>
      </c>
      <c r="E32" s="9">
        <f t="shared" si="2"/>
        <v>80</v>
      </c>
      <c r="F32" s="149" t="s">
        <v>446</v>
      </c>
      <c r="G32" s="75">
        <v>1</v>
      </c>
      <c r="H32" s="76">
        <v>0.29499999999999998</v>
      </c>
      <c r="I32" s="9" t="s">
        <v>14</v>
      </c>
      <c r="J32" s="9" t="s">
        <v>14</v>
      </c>
      <c r="K32" s="50">
        <v>40</v>
      </c>
      <c r="L32" s="9">
        <f>AVERAGE(157,118,289)</f>
        <v>188</v>
      </c>
      <c r="M32" s="50" t="s">
        <v>1171</v>
      </c>
      <c r="N32" s="9">
        <f>AVERAGE(429,370,300,379,419)</f>
        <v>379.4</v>
      </c>
      <c r="O32" s="9" t="s">
        <v>1153</v>
      </c>
      <c r="P32" s="65">
        <v>295</v>
      </c>
      <c r="Q32" s="9" t="s">
        <v>918</v>
      </c>
      <c r="R32" s="50" t="s">
        <v>26</v>
      </c>
      <c r="S32" s="65">
        <v>850</v>
      </c>
      <c r="T32" s="9" t="s">
        <v>892</v>
      </c>
      <c r="U32" s="50" t="s">
        <v>400</v>
      </c>
    </row>
    <row r="33" spans="1:21" s="21" customFormat="1" ht="12.6" customHeight="1">
      <c r="A33" s="26" t="s">
        <v>1022</v>
      </c>
      <c r="B33" s="26" t="s">
        <v>1163</v>
      </c>
      <c r="C33" s="9">
        <v>50</v>
      </c>
      <c r="D33" s="10">
        <v>1.8</v>
      </c>
      <c r="E33" s="9">
        <f t="shared" si="2"/>
        <v>80</v>
      </c>
      <c r="F33" s="149" t="s">
        <v>446</v>
      </c>
      <c r="G33" s="75">
        <v>1</v>
      </c>
      <c r="H33" s="76">
        <v>0.188</v>
      </c>
      <c r="I33" s="9">
        <v>39.299999999999997</v>
      </c>
      <c r="J33" s="9">
        <v>48</v>
      </c>
      <c r="K33" s="50">
        <v>40</v>
      </c>
      <c r="L33" s="9">
        <f>AVERAGE(118,110,120,62,78,82,96, 80)</f>
        <v>93.25</v>
      </c>
      <c r="M33" s="50" t="s">
        <v>1171</v>
      </c>
      <c r="N33" s="9">
        <f>AVERAGE(130,140,200,200,210,200,174,179,162,137)</f>
        <v>173.2</v>
      </c>
      <c r="O33" s="9" t="s">
        <v>1153</v>
      </c>
      <c r="P33" s="65">
        <v>125</v>
      </c>
      <c r="Q33" s="9" t="s">
        <v>925</v>
      </c>
      <c r="R33" s="50" t="s">
        <v>27</v>
      </c>
      <c r="S33" s="65">
        <v>290</v>
      </c>
      <c r="T33" s="9" t="s">
        <v>723</v>
      </c>
      <c r="U33" s="50" t="s">
        <v>28</v>
      </c>
    </row>
    <row r="34" spans="1:21" s="21" customFormat="1" ht="12.6" customHeight="1">
      <c r="A34" s="26" t="s">
        <v>1022</v>
      </c>
      <c r="B34" s="26" t="s">
        <v>1164</v>
      </c>
      <c r="C34" s="9">
        <v>50</v>
      </c>
      <c r="D34" s="10">
        <v>2.8</v>
      </c>
      <c r="E34" s="9">
        <f t="shared" si="2"/>
        <v>80</v>
      </c>
      <c r="F34" s="149" t="s">
        <v>446</v>
      </c>
      <c r="G34" s="75">
        <v>1</v>
      </c>
      <c r="H34" s="76">
        <v>0.159</v>
      </c>
      <c r="I34" s="9">
        <v>39.299999999999997</v>
      </c>
      <c r="J34" s="9">
        <v>48</v>
      </c>
      <c r="K34" s="50">
        <v>40</v>
      </c>
      <c r="L34" s="9">
        <f>AVERAGE(36,40,48,38)</f>
        <v>40.5</v>
      </c>
      <c r="M34" s="50" t="s">
        <v>1171</v>
      </c>
      <c r="N34" s="9">
        <f>AVERAGE(89,112)</f>
        <v>100.5</v>
      </c>
      <c r="O34" s="21" t="s">
        <v>1153</v>
      </c>
      <c r="P34" s="65"/>
      <c r="Q34" s="9"/>
      <c r="R34" s="50"/>
      <c r="S34" s="65"/>
      <c r="T34" s="9"/>
      <c r="U34" s="50"/>
    </row>
    <row r="35" spans="1:21" s="21" customFormat="1" ht="12.6" customHeight="1">
      <c r="A35" s="26" t="s">
        <v>1022</v>
      </c>
      <c r="B35" s="26" t="s">
        <v>1158</v>
      </c>
      <c r="C35" s="9">
        <v>85</v>
      </c>
      <c r="D35" s="10">
        <v>1.5</v>
      </c>
      <c r="E35" s="9">
        <f t="shared" si="2"/>
        <v>136</v>
      </c>
      <c r="F35" s="149" t="s">
        <v>446</v>
      </c>
      <c r="G35" s="75">
        <v>1</v>
      </c>
      <c r="H35" s="76">
        <v>0.73</v>
      </c>
      <c r="I35" s="9">
        <v>82.5</v>
      </c>
      <c r="J35" s="9">
        <v>62.5</v>
      </c>
      <c r="K35" s="50">
        <v>60</v>
      </c>
      <c r="L35" s="9">
        <f>AVERAGE(735)</f>
        <v>735</v>
      </c>
      <c r="M35" s="50" t="s">
        <v>918</v>
      </c>
      <c r="N35" s="9">
        <f>AVERAGE(999)</f>
        <v>999</v>
      </c>
      <c r="O35" s="9" t="s">
        <v>1153</v>
      </c>
      <c r="P35" s="65">
        <v>1150</v>
      </c>
      <c r="Q35" s="9" t="s">
        <v>892</v>
      </c>
      <c r="R35" s="50" t="s">
        <v>400</v>
      </c>
      <c r="S35" s="65">
        <v>1850</v>
      </c>
      <c r="T35" s="9" t="s">
        <v>892</v>
      </c>
      <c r="U35" s="50" t="s">
        <v>400</v>
      </c>
    </row>
    <row r="36" spans="1:21" s="21" customFormat="1" ht="12.6" customHeight="1">
      <c r="A36" s="26" t="s">
        <v>1022</v>
      </c>
      <c r="B36" s="157" t="s">
        <v>1074</v>
      </c>
      <c r="C36" s="9">
        <v>85</v>
      </c>
      <c r="D36" s="47">
        <v>1.8</v>
      </c>
      <c r="E36" s="9">
        <f t="shared" si="2"/>
        <v>136</v>
      </c>
      <c r="F36" s="149" t="s">
        <v>446</v>
      </c>
      <c r="G36" s="75">
        <v>1</v>
      </c>
      <c r="H36" s="76">
        <v>0.47</v>
      </c>
      <c r="I36" s="9">
        <v>68.2</v>
      </c>
      <c r="J36" s="9">
        <v>63.5</v>
      </c>
      <c r="K36" s="50">
        <v>58</v>
      </c>
      <c r="L36" s="65">
        <f>AVERAGE(586,899,880,622,808,895)</f>
        <v>781.66666666666663</v>
      </c>
      <c r="M36" s="50" t="s">
        <v>954</v>
      </c>
      <c r="N36" s="9">
        <f>AVERAGE(1000,899,1136,1152)</f>
        <v>1046.75</v>
      </c>
      <c r="O36" s="9" t="s">
        <v>1153</v>
      </c>
      <c r="P36" s="65">
        <v>750</v>
      </c>
      <c r="Q36" s="9" t="s">
        <v>685</v>
      </c>
      <c r="R36" s="50" t="s">
        <v>400</v>
      </c>
      <c r="S36" s="65">
        <v>1500</v>
      </c>
      <c r="T36" s="9" t="s">
        <v>892</v>
      </c>
      <c r="U36" s="50" t="s">
        <v>400</v>
      </c>
    </row>
    <row r="37" spans="1:21" s="21" customFormat="1" ht="12.6" customHeight="1">
      <c r="A37" s="26" t="s">
        <v>1022</v>
      </c>
      <c r="B37" s="157" t="s">
        <v>1119</v>
      </c>
      <c r="C37" s="9">
        <v>85</v>
      </c>
      <c r="D37" s="47">
        <v>1.9</v>
      </c>
      <c r="E37" s="9">
        <f t="shared" si="2"/>
        <v>136</v>
      </c>
      <c r="F37" s="149" t="s">
        <v>446</v>
      </c>
      <c r="G37" s="75">
        <v>1</v>
      </c>
      <c r="H37" s="76">
        <v>0.41</v>
      </c>
      <c r="I37" s="9">
        <v>84.7</v>
      </c>
      <c r="J37" s="9">
        <v>55.5</v>
      </c>
      <c r="K37" s="50">
        <v>48</v>
      </c>
      <c r="L37" s="65">
        <f>AVERAGE(195,200,230,299)</f>
        <v>231</v>
      </c>
      <c r="M37" s="50" t="s">
        <v>1153</v>
      </c>
      <c r="N37" s="9">
        <f>AVERAGE(299,359)</f>
        <v>329</v>
      </c>
      <c r="O37" s="9" t="s">
        <v>1153</v>
      </c>
      <c r="P37" s="65">
        <v>295</v>
      </c>
      <c r="Q37" s="9" t="s">
        <v>1153</v>
      </c>
      <c r="R37" s="50" t="s">
        <v>26</v>
      </c>
      <c r="S37" s="65" t="s">
        <v>14</v>
      </c>
      <c r="T37" s="9" t="s">
        <v>14</v>
      </c>
      <c r="U37" s="50" t="s">
        <v>14</v>
      </c>
    </row>
    <row r="38" spans="1:21" s="21" customFormat="1" ht="12.6" customHeight="1">
      <c r="A38" s="26" t="s">
        <v>1022</v>
      </c>
      <c r="B38" s="157" t="s">
        <v>1159</v>
      </c>
      <c r="C38" s="9">
        <v>85</v>
      </c>
      <c r="D38" s="9">
        <v>2</v>
      </c>
      <c r="E38" s="9">
        <f t="shared" si="2"/>
        <v>136</v>
      </c>
      <c r="F38" s="149" t="s">
        <v>446</v>
      </c>
      <c r="G38" s="75">
        <v>1.07</v>
      </c>
      <c r="H38" s="76">
        <v>0.55600000000000005</v>
      </c>
      <c r="I38" s="9"/>
      <c r="J38" s="9" t="s">
        <v>14</v>
      </c>
      <c r="K38" s="50">
        <v>48</v>
      </c>
      <c r="L38" s="65">
        <f>AVERAGE(173,200,199)</f>
        <v>190.66666666666666</v>
      </c>
      <c r="M38" s="50" t="s">
        <v>1153</v>
      </c>
      <c r="N38" s="9">
        <f>AVERAGE(250)</f>
        <v>250</v>
      </c>
      <c r="O38" s="9" t="s">
        <v>1171</v>
      </c>
      <c r="P38" s="65" t="s">
        <v>14</v>
      </c>
      <c r="Q38" s="9" t="s">
        <v>14</v>
      </c>
      <c r="R38" s="50" t="s">
        <v>14</v>
      </c>
      <c r="S38" s="65" t="s">
        <v>14</v>
      </c>
      <c r="T38" s="9" t="s">
        <v>14</v>
      </c>
      <c r="U38" s="50" t="s">
        <v>14</v>
      </c>
    </row>
    <row r="39" spans="1:21" s="21" customFormat="1" ht="12.6" customHeight="1">
      <c r="A39" s="26" t="s">
        <v>1022</v>
      </c>
      <c r="B39" s="26" t="s">
        <v>1075</v>
      </c>
      <c r="C39" s="9">
        <v>100</v>
      </c>
      <c r="D39" s="10">
        <v>2</v>
      </c>
      <c r="E39" s="9">
        <f t="shared" si="2"/>
        <v>160</v>
      </c>
      <c r="F39" s="149" t="s">
        <v>446</v>
      </c>
      <c r="G39" s="75">
        <v>1</v>
      </c>
      <c r="H39" s="76">
        <v>0.51500000000000001</v>
      </c>
      <c r="I39" s="9">
        <v>91</v>
      </c>
      <c r="J39" s="9">
        <v>63</v>
      </c>
      <c r="K39" s="50">
        <v>58</v>
      </c>
      <c r="L39" s="9">
        <f>AVERAGE(329,409,329,470,350,355,402,400)</f>
        <v>380.5</v>
      </c>
      <c r="M39" s="50" t="s">
        <v>1153</v>
      </c>
      <c r="N39" s="9">
        <f>AVERAGE(600,550,645,528,649,597,498,523)</f>
        <v>573.75</v>
      </c>
      <c r="O39" s="9" t="s">
        <v>1153</v>
      </c>
      <c r="P39" s="65">
        <v>775</v>
      </c>
      <c r="Q39" s="9" t="s">
        <v>892</v>
      </c>
      <c r="R39" s="50" t="s">
        <v>400</v>
      </c>
      <c r="S39" s="136">
        <v>1100</v>
      </c>
      <c r="T39" s="9" t="s">
        <v>892</v>
      </c>
      <c r="U39" s="50" t="s">
        <v>400</v>
      </c>
    </row>
    <row r="40" spans="1:21" s="21" customFormat="1" ht="12.6" customHeight="1">
      <c r="A40" s="26" t="s">
        <v>1022</v>
      </c>
      <c r="B40" s="26" t="s">
        <v>1117</v>
      </c>
      <c r="C40" s="9">
        <v>100</v>
      </c>
      <c r="D40" s="10">
        <v>3.5</v>
      </c>
      <c r="E40" s="9">
        <f t="shared" si="2"/>
        <v>160</v>
      </c>
      <c r="F40" s="149" t="s">
        <v>446</v>
      </c>
      <c r="G40" s="75">
        <v>1</v>
      </c>
      <c r="H40" s="76">
        <v>0.22</v>
      </c>
      <c r="I40" s="9">
        <v>73</v>
      </c>
      <c r="J40" s="9">
        <v>47</v>
      </c>
      <c r="K40" s="50">
        <v>40</v>
      </c>
      <c r="L40" s="9">
        <f>AVERAGE(90,150)</f>
        <v>120</v>
      </c>
      <c r="M40" s="50" t="s">
        <v>1153</v>
      </c>
      <c r="N40" s="9">
        <f>AVERAGE(250,250,285)</f>
        <v>261.66666666666669</v>
      </c>
      <c r="O40" s="9" t="s">
        <v>1153</v>
      </c>
      <c r="P40" s="65" t="s">
        <v>14</v>
      </c>
      <c r="Q40" s="9" t="s">
        <v>14</v>
      </c>
      <c r="R40" s="50" t="s">
        <v>14</v>
      </c>
      <c r="S40" s="136" t="s">
        <v>14</v>
      </c>
      <c r="T40" s="9" t="s">
        <v>14</v>
      </c>
      <c r="U40" s="50" t="s">
        <v>14</v>
      </c>
    </row>
    <row r="41" spans="1:21" s="21" customFormat="1" ht="12.6" customHeight="1">
      <c r="A41" s="57" t="s">
        <v>1022</v>
      </c>
      <c r="B41" s="57" t="s">
        <v>1076</v>
      </c>
      <c r="C41" s="36">
        <v>135</v>
      </c>
      <c r="D41" s="71">
        <v>3.5</v>
      </c>
      <c r="E41" s="36">
        <f t="shared" si="2"/>
        <v>216</v>
      </c>
      <c r="F41" s="60" t="s">
        <v>446</v>
      </c>
      <c r="G41" s="59">
        <v>1.5</v>
      </c>
      <c r="H41" s="40">
        <v>0.42399999999999999</v>
      </c>
      <c r="I41" s="36">
        <v>97</v>
      </c>
      <c r="J41" s="36">
        <v>54</v>
      </c>
      <c r="K41" s="52">
        <v>48</v>
      </c>
      <c r="L41" s="61">
        <f>AVERAGE(75,85,85,93,112,110,95,82,100,105,113)</f>
        <v>95.909090909090907</v>
      </c>
      <c r="M41" s="52" t="s">
        <v>1153</v>
      </c>
      <c r="N41" s="36">
        <f>AVERAGE(177,199,250,160,123,138)</f>
        <v>174.5</v>
      </c>
      <c r="O41" s="36" t="s">
        <v>1153</v>
      </c>
      <c r="P41" s="61">
        <v>145</v>
      </c>
      <c r="Q41" s="36" t="s">
        <v>1153</v>
      </c>
      <c r="R41" s="52" t="s">
        <v>26</v>
      </c>
      <c r="S41" s="151" t="s">
        <v>14</v>
      </c>
      <c r="T41" s="36" t="s">
        <v>14</v>
      </c>
      <c r="U41" s="52" t="s">
        <v>14</v>
      </c>
    </row>
    <row r="42" spans="1:21" ht="12.6" customHeight="1">
      <c r="A42" s="119" t="s">
        <v>1024</v>
      </c>
      <c r="B42" s="57"/>
      <c r="C42" s="36" t="s">
        <v>14</v>
      </c>
      <c r="D42" s="152" t="s">
        <v>14</v>
      </c>
      <c r="E42" s="41" t="s">
        <v>14</v>
      </c>
      <c r="F42" s="68" t="s">
        <v>14</v>
      </c>
      <c r="G42" s="41" t="s">
        <v>14</v>
      </c>
      <c r="H42" s="40" t="s">
        <v>14</v>
      </c>
      <c r="I42" s="36" t="s">
        <v>14</v>
      </c>
      <c r="J42" s="36" t="s">
        <v>14</v>
      </c>
      <c r="K42" s="36" t="s">
        <v>14</v>
      </c>
      <c r="L42" s="36" t="s">
        <v>14</v>
      </c>
      <c r="M42" s="36" t="s">
        <v>14</v>
      </c>
      <c r="N42" s="36" t="s">
        <v>14</v>
      </c>
      <c r="O42" s="36" t="s">
        <v>14</v>
      </c>
      <c r="P42" s="36" t="s">
        <v>14</v>
      </c>
      <c r="Q42" s="36" t="s">
        <v>14</v>
      </c>
      <c r="R42" s="36" t="s">
        <v>14</v>
      </c>
      <c r="S42" s="36" t="s">
        <v>14</v>
      </c>
      <c r="T42" s="36" t="s">
        <v>14</v>
      </c>
      <c r="U42" s="36" t="s">
        <v>14</v>
      </c>
    </row>
    <row r="43" spans="1:21" ht="11.25">
      <c r="A43" s="57" t="s">
        <v>135</v>
      </c>
      <c r="B43" s="57" t="s">
        <v>1025</v>
      </c>
      <c r="C43" s="36">
        <v>10</v>
      </c>
      <c r="D43" s="71">
        <v>5.6</v>
      </c>
      <c r="E43" s="36">
        <f t="shared" ref="E43:E77" si="3">C43*1.6</f>
        <v>16</v>
      </c>
      <c r="F43" s="60" t="s">
        <v>445</v>
      </c>
      <c r="G43" s="59">
        <v>0.3</v>
      </c>
      <c r="H43" s="40">
        <v>0.371</v>
      </c>
      <c r="I43" s="36">
        <v>73.8</v>
      </c>
      <c r="J43" s="36">
        <v>67.8</v>
      </c>
      <c r="K43" s="52" t="s">
        <v>29</v>
      </c>
      <c r="L43" s="36">
        <f>AVERAGE(788)</f>
        <v>788</v>
      </c>
      <c r="M43" s="52" t="s">
        <v>1153</v>
      </c>
      <c r="N43" s="36">
        <f t="shared" ref="N43" si="4">AVERAGE(0)</f>
        <v>0</v>
      </c>
      <c r="O43" s="36" t="s">
        <v>14</v>
      </c>
      <c r="P43" s="61" t="s">
        <v>14</v>
      </c>
      <c r="Q43" s="36" t="s">
        <v>14</v>
      </c>
      <c r="R43" s="52" t="s">
        <v>14</v>
      </c>
      <c r="S43" s="151">
        <v>1100</v>
      </c>
      <c r="T43" s="36" t="s">
        <v>918</v>
      </c>
      <c r="U43" s="52" t="s">
        <v>474</v>
      </c>
    </row>
    <row r="44" spans="1:21" s="21" customFormat="1" ht="11.25">
      <c r="A44" s="26" t="s">
        <v>135</v>
      </c>
      <c r="B44" s="26" t="s">
        <v>1026</v>
      </c>
      <c r="C44" s="9">
        <v>12</v>
      </c>
      <c r="D44" s="10">
        <v>5.6</v>
      </c>
      <c r="E44" s="9">
        <f t="shared" si="3"/>
        <v>19.200000000000003</v>
      </c>
      <c r="F44" s="149" t="s">
        <v>446</v>
      </c>
      <c r="G44" s="75">
        <v>0.32800000000000001</v>
      </c>
      <c r="H44" s="76">
        <v>0.16200000000000001</v>
      </c>
      <c r="I44" s="9">
        <v>38.200000000000003</v>
      </c>
      <c r="J44" s="9">
        <v>50.5</v>
      </c>
      <c r="K44" s="50" t="s">
        <v>1027</v>
      </c>
      <c r="L44" s="65">
        <f>AVERAGE(382,486,375,399,450,465,443,475,427,530)</f>
        <v>443.2</v>
      </c>
      <c r="M44" s="50" t="s">
        <v>1153</v>
      </c>
      <c r="N44" s="9">
        <f>AVERAGE(530,550,572,539,590,633,530,515,550)</f>
        <v>556.55555555555554</v>
      </c>
      <c r="O44" s="9" t="s">
        <v>1153</v>
      </c>
      <c r="P44" s="65">
        <v>400</v>
      </c>
      <c r="Q44" s="9" t="s">
        <v>723</v>
      </c>
      <c r="R44" s="50" t="s">
        <v>30</v>
      </c>
      <c r="S44" s="65">
        <v>565</v>
      </c>
      <c r="T44" s="9" t="s">
        <v>954</v>
      </c>
      <c r="U44" s="50" t="s">
        <v>26</v>
      </c>
    </row>
    <row r="45" spans="1:21" s="21" customFormat="1" ht="11.25">
      <c r="A45" s="26" t="s">
        <v>135</v>
      </c>
      <c r="B45" s="26" t="s">
        <v>1028</v>
      </c>
      <c r="C45" s="9">
        <v>12</v>
      </c>
      <c r="D45" s="10">
        <v>5.6</v>
      </c>
      <c r="E45" s="9">
        <f t="shared" si="3"/>
        <v>19.200000000000003</v>
      </c>
      <c r="F45" s="149" t="s">
        <v>445</v>
      </c>
      <c r="G45" s="75">
        <v>0.7</v>
      </c>
      <c r="H45" s="76">
        <v>0.23</v>
      </c>
      <c r="I45" s="9">
        <v>42.5</v>
      </c>
      <c r="J45" s="9">
        <v>74.599999999999994</v>
      </c>
      <c r="K45" s="50">
        <v>67</v>
      </c>
      <c r="L45" s="65">
        <f>AVERAGE(490,315,371,359,416,403,465,439,455)</f>
        <v>412.55555555555554</v>
      </c>
      <c r="M45" s="50" t="s">
        <v>1153</v>
      </c>
      <c r="N45" s="9">
        <f>AVERAGE(699,630,499,540,679,538)</f>
        <v>597.5</v>
      </c>
      <c r="O45" s="9" t="s">
        <v>1153</v>
      </c>
      <c r="P45" s="65">
        <v>600</v>
      </c>
      <c r="Q45" s="9" t="s">
        <v>1153</v>
      </c>
      <c r="R45" s="50" t="s">
        <v>30</v>
      </c>
      <c r="S45" s="65">
        <v>620</v>
      </c>
      <c r="T45" s="9" t="s">
        <v>892</v>
      </c>
      <c r="U45" s="50" t="s">
        <v>28</v>
      </c>
    </row>
    <row r="46" spans="1:21" s="21" customFormat="1" ht="11.25">
      <c r="A46" s="26" t="s">
        <v>135</v>
      </c>
      <c r="B46" s="26" t="s">
        <v>1029</v>
      </c>
      <c r="C46" s="9">
        <v>12</v>
      </c>
      <c r="D46" s="10">
        <v>5.6</v>
      </c>
      <c r="E46" s="9">
        <f t="shared" si="3"/>
        <v>19.200000000000003</v>
      </c>
      <c r="F46" s="149" t="s">
        <v>445</v>
      </c>
      <c r="G46" s="75">
        <v>0.3</v>
      </c>
      <c r="H46" s="76">
        <v>0.28299999999999997</v>
      </c>
      <c r="I46" s="9">
        <v>58.4</v>
      </c>
      <c r="J46" s="9">
        <v>64.8</v>
      </c>
      <c r="K46" s="50" t="s">
        <v>29</v>
      </c>
      <c r="L46" s="65">
        <f t="shared" ref="L46" si="5">AVERAGE(0)</f>
        <v>0</v>
      </c>
      <c r="M46" s="50" t="s">
        <v>14</v>
      </c>
      <c r="N46" s="9">
        <f>AVERAGE(770)</f>
        <v>770</v>
      </c>
      <c r="O46" s="9" t="s">
        <v>1153</v>
      </c>
      <c r="P46" s="65" t="s">
        <v>14</v>
      </c>
      <c r="Q46" s="9" t="s">
        <v>14</v>
      </c>
      <c r="R46" s="50" t="s">
        <v>14</v>
      </c>
      <c r="S46" s="65" t="s">
        <v>14</v>
      </c>
      <c r="T46" s="9" t="s">
        <v>14</v>
      </c>
      <c r="U46" s="50" t="s">
        <v>14</v>
      </c>
    </row>
    <row r="47" spans="1:21" ht="12.6" customHeight="1">
      <c r="A47" s="73" t="s">
        <v>135</v>
      </c>
      <c r="B47" s="73" t="s">
        <v>1030</v>
      </c>
      <c r="C47" s="9">
        <v>15</v>
      </c>
      <c r="D47" s="10">
        <v>4.5</v>
      </c>
      <c r="E47" s="9">
        <f t="shared" si="3"/>
        <v>24</v>
      </c>
      <c r="F47" s="64" t="s">
        <v>446</v>
      </c>
      <c r="G47" s="75">
        <v>0.3</v>
      </c>
      <c r="H47" s="76">
        <v>0.105</v>
      </c>
      <c r="I47" s="9">
        <v>30.7</v>
      </c>
      <c r="J47" s="9">
        <v>49.6</v>
      </c>
      <c r="K47" s="50" t="s">
        <v>1027</v>
      </c>
      <c r="L47" s="65">
        <f>AVERAGE(288,316,270,316,306,300,377,255,299,289,206,320,368,340)</f>
        <v>303.57142857142856</v>
      </c>
      <c r="M47" s="50" t="s">
        <v>1171</v>
      </c>
      <c r="N47" s="9">
        <f>AVERAGE(336,398,325,350,395,428,372,385,411,435,430)</f>
        <v>387.72727272727275</v>
      </c>
      <c r="O47" s="10" t="s">
        <v>1153</v>
      </c>
      <c r="P47" s="65">
        <v>380</v>
      </c>
      <c r="Q47" s="10" t="s">
        <v>1153</v>
      </c>
      <c r="R47" s="50" t="s">
        <v>31</v>
      </c>
      <c r="S47" s="65">
        <v>400</v>
      </c>
      <c r="T47" s="10" t="s">
        <v>1153</v>
      </c>
      <c r="U47" s="50" t="s">
        <v>30</v>
      </c>
    </row>
    <row r="48" spans="1:21" s="26" customFormat="1" ht="12.6" customHeight="1">
      <c r="A48" s="26" t="s">
        <v>135</v>
      </c>
      <c r="B48" s="26" t="s">
        <v>1031</v>
      </c>
      <c r="C48" s="9">
        <v>15</v>
      </c>
      <c r="D48" s="10">
        <v>4.5</v>
      </c>
      <c r="E48" s="9">
        <f t="shared" si="3"/>
        <v>24</v>
      </c>
      <c r="F48" s="149" t="s">
        <v>445</v>
      </c>
      <c r="G48" s="75">
        <v>0.5</v>
      </c>
      <c r="H48" s="76">
        <v>0.156</v>
      </c>
      <c r="I48" s="9">
        <v>38</v>
      </c>
      <c r="J48" s="9">
        <v>59</v>
      </c>
      <c r="K48" s="50">
        <v>52</v>
      </c>
      <c r="L48" s="65">
        <f>AVERAGE(305,305,306,350,322,200,300,380,360,305,399,365,331)</f>
        <v>325.23076923076923</v>
      </c>
      <c r="M48" s="50" t="s">
        <v>1171</v>
      </c>
      <c r="N48" s="9">
        <f>AVERAGE(449,400,440,419,480,450,420,480,473,420,450,440)</f>
        <v>443.41666666666669</v>
      </c>
      <c r="O48" s="9" t="s">
        <v>1171</v>
      </c>
      <c r="P48" s="65">
        <v>430</v>
      </c>
      <c r="Q48" s="9" t="s">
        <v>954</v>
      </c>
      <c r="R48" s="50" t="s">
        <v>30</v>
      </c>
      <c r="S48" s="65">
        <v>375</v>
      </c>
      <c r="T48" s="9" t="s">
        <v>1153</v>
      </c>
      <c r="U48" s="50" t="s">
        <v>26</v>
      </c>
    </row>
    <row r="49" spans="1:21" s="21" customFormat="1" ht="12.6" customHeight="1">
      <c r="A49" s="57" t="s">
        <v>135</v>
      </c>
      <c r="B49" s="57" t="s">
        <v>1032</v>
      </c>
      <c r="C49" s="36">
        <v>15</v>
      </c>
      <c r="D49" s="71">
        <v>4.5</v>
      </c>
      <c r="E49" s="36">
        <f t="shared" si="3"/>
        <v>24</v>
      </c>
      <c r="F49" s="153" t="s">
        <v>445</v>
      </c>
      <c r="G49" s="59">
        <v>0.3</v>
      </c>
      <c r="H49" s="40">
        <v>0.29399999999999998</v>
      </c>
      <c r="I49" s="36">
        <v>67.5</v>
      </c>
      <c r="J49" s="36">
        <v>66.400000000000006</v>
      </c>
      <c r="K49" s="52">
        <v>58</v>
      </c>
      <c r="L49" s="36">
        <f>AVERAGE(547,492,575,495,550)</f>
        <v>531.79999999999995</v>
      </c>
      <c r="M49" s="52" t="s">
        <v>1118</v>
      </c>
      <c r="N49" s="36">
        <f>AVERAGE(699,606,649,675,610,640,650)</f>
        <v>647</v>
      </c>
      <c r="O49" s="36" t="s">
        <v>1110</v>
      </c>
      <c r="P49" s="61">
        <v>698</v>
      </c>
      <c r="Q49" s="36" t="s">
        <v>954</v>
      </c>
      <c r="R49" s="52" t="s">
        <v>28</v>
      </c>
      <c r="S49" s="61">
        <v>575</v>
      </c>
      <c r="T49" s="36" t="s">
        <v>1153</v>
      </c>
      <c r="U49" s="52" t="s">
        <v>26</v>
      </c>
    </row>
    <row r="50" spans="1:21" s="26" customFormat="1" ht="12.6" customHeight="1">
      <c r="A50" s="26" t="s">
        <v>135</v>
      </c>
      <c r="B50" s="26" t="s">
        <v>1033</v>
      </c>
      <c r="C50" s="9">
        <v>21</v>
      </c>
      <c r="D50" s="10">
        <v>1.8</v>
      </c>
      <c r="E50" s="9">
        <f t="shared" si="3"/>
        <v>33.6</v>
      </c>
      <c r="F50" s="149" t="s">
        <v>445</v>
      </c>
      <c r="G50" s="75">
        <v>0.7</v>
      </c>
      <c r="H50" s="76">
        <v>0.41199999999999998</v>
      </c>
      <c r="I50" s="9">
        <v>78.400000000000006</v>
      </c>
      <c r="J50" s="9">
        <v>69</v>
      </c>
      <c r="K50" s="50">
        <v>58</v>
      </c>
      <c r="L50" s="9">
        <f>AVERAGE(715,750,588,736,669,828,710,700,571,630,819,800)</f>
        <v>709.66666666666663</v>
      </c>
      <c r="M50" s="50" t="s">
        <v>1153</v>
      </c>
      <c r="N50" s="9">
        <f>AVERAGE(829,1049,886,850,1239,1060,1150,1099,1149,1100,998)</f>
        <v>1037.1818181818182</v>
      </c>
      <c r="O50" s="9" t="s">
        <v>951</v>
      </c>
      <c r="P50" s="65">
        <v>800</v>
      </c>
      <c r="Q50" s="9" t="s">
        <v>918</v>
      </c>
      <c r="R50" s="50" t="s">
        <v>474</v>
      </c>
      <c r="S50" s="9">
        <v>900</v>
      </c>
      <c r="T50" s="9" t="s">
        <v>954</v>
      </c>
      <c r="U50" s="50" t="s">
        <v>30</v>
      </c>
    </row>
    <row r="51" spans="1:21" s="26" customFormat="1" ht="12.6" customHeight="1">
      <c r="A51" s="26" t="s">
        <v>135</v>
      </c>
      <c r="B51" s="26" t="s">
        <v>1034</v>
      </c>
      <c r="C51" s="9">
        <v>21</v>
      </c>
      <c r="D51" s="10">
        <v>4</v>
      </c>
      <c r="E51" s="9">
        <f t="shared" si="3"/>
        <v>33.6</v>
      </c>
      <c r="F51" s="149" t="s">
        <v>446</v>
      </c>
      <c r="G51" s="75">
        <v>0.46</v>
      </c>
      <c r="H51" s="76">
        <v>0.109</v>
      </c>
      <c r="I51" s="9">
        <v>29</v>
      </c>
      <c r="J51" s="154">
        <v>55</v>
      </c>
      <c r="K51" s="50">
        <v>39</v>
      </c>
      <c r="L51" s="9">
        <f>AVERAGE(305,235,240,270)</f>
        <v>262.5</v>
      </c>
      <c r="M51" s="50" t="s">
        <v>1171</v>
      </c>
      <c r="N51" s="9">
        <f>AVERAGE(330,308,369,265,285,325,303)</f>
        <v>312.14285714285717</v>
      </c>
      <c r="O51" s="9" t="s">
        <v>1171</v>
      </c>
      <c r="P51" s="65">
        <v>284</v>
      </c>
      <c r="Q51" s="9" t="s">
        <v>954</v>
      </c>
      <c r="R51" s="50" t="s">
        <v>31</v>
      </c>
      <c r="S51" s="9">
        <v>400</v>
      </c>
      <c r="T51" s="9" t="s">
        <v>954</v>
      </c>
      <c r="U51" s="50" t="s">
        <v>28</v>
      </c>
    </row>
    <row r="52" spans="1:21" s="21" customFormat="1" ht="12.6" customHeight="1">
      <c r="A52" s="57" t="s">
        <v>135</v>
      </c>
      <c r="B52" s="57" t="s">
        <v>1034</v>
      </c>
      <c r="C52" s="36">
        <v>21</v>
      </c>
      <c r="D52" s="71">
        <v>4</v>
      </c>
      <c r="E52" s="36">
        <f t="shared" si="3"/>
        <v>33.6</v>
      </c>
      <c r="F52" s="153" t="s">
        <v>445</v>
      </c>
      <c r="G52" s="59">
        <v>0.3</v>
      </c>
      <c r="H52" s="40">
        <v>0.13600000000000001</v>
      </c>
      <c r="I52" s="36">
        <v>24</v>
      </c>
      <c r="J52" s="36">
        <v>55</v>
      </c>
      <c r="K52" s="52">
        <v>39</v>
      </c>
      <c r="L52" s="36">
        <f>AVERAGE(265,265,249,285)</f>
        <v>266</v>
      </c>
      <c r="M52" s="52" t="s">
        <v>954</v>
      </c>
      <c r="N52" s="36">
        <f>AVERAGE(385,330,350,326,325,319,303,348,319)</f>
        <v>333.88888888888891</v>
      </c>
      <c r="O52" s="36" t="s">
        <v>1171</v>
      </c>
      <c r="P52" s="61">
        <v>367</v>
      </c>
      <c r="Q52" s="36" t="s">
        <v>954</v>
      </c>
      <c r="R52" s="52" t="s">
        <v>28</v>
      </c>
      <c r="S52" s="61">
        <v>400</v>
      </c>
      <c r="T52" s="36" t="s">
        <v>1153</v>
      </c>
      <c r="U52" s="52" t="s">
        <v>31</v>
      </c>
    </row>
    <row r="53" spans="1:21" ht="12.6" customHeight="1">
      <c r="A53" s="73" t="s">
        <v>135</v>
      </c>
      <c r="B53" s="73" t="s">
        <v>1035</v>
      </c>
      <c r="C53" s="9">
        <v>25</v>
      </c>
      <c r="D53" s="10">
        <v>4</v>
      </c>
      <c r="E53" s="9">
        <f t="shared" si="3"/>
        <v>40</v>
      </c>
      <c r="F53" s="64" t="s">
        <v>446</v>
      </c>
      <c r="G53" s="75">
        <v>0.57999999999999996</v>
      </c>
      <c r="H53" s="76">
        <v>0.09</v>
      </c>
      <c r="I53" s="9">
        <v>29.5</v>
      </c>
      <c r="J53" s="9">
        <v>49.5</v>
      </c>
      <c r="K53" s="50">
        <v>39</v>
      </c>
      <c r="L53" s="65">
        <f>AVERAGE(200,329,229,287,264,257,229,249,235)</f>
        <v>253.22222222222223</v>
      </c>
      <c r="M53" s="50" t="s">
        <v>1171</v>
      </c>
      <c r="N53" s="9">
        <f>AVERAGE(349,340,399,364,365)</f>
        <v>363.4</v>
      </c>
      <c r="O53" s="10" t="s">
        <v>1171</v>
      </c>
      <c r="P53" s="65">
        <v>265.24</v>
      </c>
      <c r="Q53" s="10" t="s">
        <v>954</v>
      </c>
      <c r="R53" s="50" t="s">
        <v>537</v>
      </c>
      <c r="S53" s="65">
        <v>370</v>
      </c>
      <c r="T53" s="10" t="s">
        <v>954</v>
      </c>
      <c r="U53" s="50" t="s">
        <v>31</v>
      </c>
    </row>
    <row r="54" spans="1:21" s="26" customFormat="1" ht="12.6" customHeight="1">
      <c r="A54" s="26" t="s">
        <v>135</v>
      </c>
      <c r="B54" s="26" t="s">
        <v>1036</v>
      </c>
      <c r="C54" s="9">
        <v>25</v>
      </c>
      <c r="D54" s="10">
        <v>4</v>
      </c>
      <c r="E54" s="9">
        <f t="shared" si="3"/>
        <v>40</v>
      </c>
      <c r="F54" s="149" t="s">
        <v>445</v>
      </c>
      <c r="G54" s="75">
        <v>0.7</v>
      </c>
      <c r="H54" s="76">
        <v>0.17</v>
      </c>
      <c r="I54" s="9">
        <v>24</v>
      </c>
      <c r="J54" s="9">
        <v>49.5</v>
      </c>
      <c r="K54" s="50">
        <v>39</v>
      </c>
      <c r="L54" s="9">
        <f>AVERAGE(232,228,215,227,239,279)</f>
        <v>236.66666666666666</v>
      </c>
      <c r="M54" s="50" t="s">
        <v>1153</v>
      </c>
      <c r="N54" s="9">
        <f>AVERAGE(490,310,340,299,378,330,335,338,328)</f>
        <v>349.77777777777777</v>
      </c>
      <c r="O54" s="9" t="s">
        <v>1171</v>
      </c>
      <c r="P54" s="65">
        <v>350</v>
      </c>
      <c r="Q54" s="9" t="s">
        <v>1153</v>
      </c>
      <c r="R54" s="50" t="s">
        <v>31</v>
      </c>
      <c r="S54" s="9">
        <v>375</v>
      </c>
      <c r="T54" s="9" t="s">
        <v>954</v>
      </c>
      <c r="U54" s="50" t="s">
        <v>30</v>
      </c>
    </row>
    <row r="55" spans="1:21" s="26" customFormat="1" ht="12.6" customHeight="1">
      <c r="A55" s="26" t="s">
        <v>135</v>
      </c>
      <c r="B55" s="26" t="s">
        <v>1037</v>
      </c>
      <c r="C55" s="9">
        <v>28</v>
      </c>
      <c r="D55" s="10">
        <v>1.9</v>
      </c>
      <c r="E55" s="9">
        <f t="shared" si="3"/>
        <v>44.800000000000004</v>
      </c>
      <c r="F55" s="149" t="s">
        <v>446</v>
      </c>
      <c r="G55" s="75">
        <v>0.7</v>
      </c>
      <c r="H55" s="76">
        <v>0.26400000000000001</v>
      </c>
      <c r="I55" s="9">
        <v>47</v>
      </c>
      <c r="J55" s="9">
        <v>53</v>
      </c>
      <c r="K55" s="50">
        <v>46</v>
      </c>
      <c r="L55" s="9">
        <f>AVERAGE(295,366,248,268,326,256,248,268,310,300,304)</f>
        <v>289.90909090909093</v>
      </c>
      <c r="M55" s="50" t="s">
        <v>1153</v>
      </c>
      <c r="N55" s="9">
        <f>AVERAGE(449,448,528,473,520,499,475,530,455,595,598)</f>
        <v>506.36363636363637</v>
      </c>
      <c r="O55" s="9" t="s">
        <v>1153</v>
      </c>
      <c r="P55" s="65" t="s">
        <v>14</v>
      </c>
      <c r="Q55" s="9" t="s">
        <v>14</v>
      </c>
      <c r="R55" s="50" t="s">
        <v>14</v>
      </c>
      <c r="S55" s="150">
        <f>AVERAGE(0)</f>
        <v>0</v>
      </c>
      <c r="T55" s="9" t="s">
        <v>14</v>
      </c>
      <c r="U55" s="50" t="s">
        <v>14</v>
      </c>
    </row>
    <row r="56" spans="1:21" s="26" customFormat="1" ht="12.6" customHeight="1">
      <c r="A56" s="26" t="s">
        <v>135</v>
      </c>
      <c r="B56" s="26" t="s">
        <v>1038</v>
      </c>
      <c r="C56" s="9">
        <v>28</v>
      </c>
      <c r="D56" s="10">
        <v>2</v>
      </c>
      <c r="E56" s="9">
        <f t="shared" si="3"/>
        <v>44.800000000000004</v>
      </c>
      <c r="F56" s="149" t="s">
        <v>445</v>
      </c>
      <c r="G56" s="75">
        <v>0.7</v>
      </c>
      <c r="H56" s="76">
        <v>0.24299999999999999</v>
      </c>
      <c r="I56" s="9">
        <v>51</v>
      </c>
      <c r="J56" s="9">
        <v>55</v>
      </c>
      <c r="K56" s="50">
        <v>46</v>
      </c>
      <c r="L56" s="9">
        <f>AVERAGE(355,445,305,339,324,305,400,412,434,439,350)</f>
        <v>373.45454545454544</v>
      </c>
      <c r="M56" s="50" t="s">
        <v>1153</v>
      </c>
      <c r="N56" s="9">
        <f>AVERAGE(470,400,495,540,439,424,485,470,495,478,495)</f>
        <v>471.90909090909093</v>
      </c>
      <c r="O56" s="9" t="s">
        <v>1171</v>
      </c>
      <c r="P56" s="65">
        <v>513</v>
      </c>
      <c r="Q56" s="9" t="s">
        <v>1153</v>
      </c>
      <c r="R56" s="50" t="s">
        <v>873</v>
      </c>
      <c r="S56" s="150">
        <v>599</v>
      </c>
      <c r="T56" s="9" t="s">
        <v>954</v>
      </c>
      <c r="U56" s="50" t="s">
        <v>474</v>
      </c>
    </row>
    <row r="57" spans="1:21" s="21" customFormat="1" ht="12.6" customHeight="1">
      <c r="A57" s="57" t="s">
        <v>135</v>
      </c>
      <c r="B57" s="57" t="s">
        <v>1039</v>
      </c>
      <c r="C57" s="36">
        <v>28</v>
      </c>
      <c r="D57" s="71">
        <v>3.5</v>
      </c>
      <c r="E57" s="36">
        <f t="shared" si="3"/>
        <v>44.800000000000004</v>
      </c>
      <c r="F57" s="153" t="s">
        <v>446</v>
      </c>
      <c r="G57" s="59">
        <v>0.7</v>
      </c>
      <c r="H57" s="40">
        <v>0.16300000000000001</v>
      </c>
      <c r="I57" s="36">
        <v>19</v>
      </c>
      <c r="J57" s="36">
        <v>49</v>
      </c>
      <c r="K57" s="52">
        <v>39</v>
      </c>
      <c r="L57" s="36">
        <f>AVERAGE(398,410,430)</f>
        <v>412.66666666666669</v>
      </c>
      <c r="M57" s="52" t="s">
        <v>952</v>
      </c>
      <c r="N57" s="36">
        <f>AVERAGE(545,519,529,450,479,480,499,499,499,489,449,450,489)</f>
        <v>490.46153846153845</v>
      </c>
      <c r="O57" s="36" t="s">
        <v>1171</v>
      </c>
      <c r="P57" s="61" t="s">
        <v>14</v>
      </c>
      <c r="Q57" s="36" t="s">
        <v>14</v>
      </c>
      <c r="R57" s="52" t="s">
        <v>14</v>
      </c>
      <c r="S57" s="151">
        <v>330</v>
      </c>
      <c r="T57" s="36" t="s">
        <v>1040</v>
      </c>
      <c r="U57" s="52" t="s">
        <v>474</v>
      </c>
    </row>
    <row r="58" spans="1:21" s="21" customFormat="1" ht="12.6" customHeight="1">
      <c r="A58" s="26" t="s">
        <v>135</v>
      </c>
      <c r="B58" s="73" t="s">
        <v>1041</v>
      </c>
      <c r="C58" s="9">
        <v>35</v>
      </c>
      <c r="D58" s="47">
        <v>1.2</v>
      </c>
      <c r="E58" s="9">
        <f t="shared" si="3"/>
        <v>56</v>
      </c>
      <c r="F58" s="149" t="s">
        <v>445</v>
      </c>
      <c r="G58" s="75">
        <v>0.7</v>
      </c>
      <c r="H58" s="35">
        <v>0.49</v>
      </c>
      <c r="I58" s="9">
        <v>77.8</v>
      </c>
      <c r="J58" s="9">
        <v>63</v>
      </c>
      <c r="K58" s="50">
        <v>52</v>
      </c>
      <c r="L58" s="65">
        <f>AVERAGE(600,678,650,900,820,800,950,850)</f>
        <v>781</v>
      </c>
      <c r="M58" s="50" t="s">
        <v>892</v>
      </c>
      <c r="N58" s="9">
        <f>AVERAGE(740,779)</f>
        <v>759.5</v>
      </c>
      <c r="O58" s="9" t="s">
        <v>1153</v>
      </c>
      <c r="P58" s="65">
        <v>800</v>
      </c>
      <c r="Q58" s="9" t="s">
        <v>918</v>
      </c>
      <c r="R58" s="50" t="s">
        <v>474</v>
      </c>
      <c r="S58" s="65">
        <v>1199</v>
      </c>
      <c r="T58" s="9" t="s">
        <v>484</v>
      </c>
      <c r="U58" s="50" t="s">
        <v>474</v>
      </c>
    </row>
    <row r="59" spans="1:21" s="21" customFormat="1" ht="12.6" customHeight="1">
      <c r="A59" s="26" t="s">
        <v>135</v>
      </c>
      <c r="B59" s="73" t="s">
        <v>1042</v>
      </c>
      <c r="C59" s="9">
        <v>35</v>
      </c>
      <c r="D59" s="47">
        <v>1.2</v>
      </c>
      <c r="E59" s="9">
        <f t="shared" si="3"/>
        <v>56</v>
      </c>
      <c r="F59" s="149" t="s">
        <v>445</v>
      </c>
      <c r="G59" s="75">
        <v>0.5</v>
      </c>
      <c r="H59" s="76">
        <v>0.47099999999999997</v>
      </c>
      <c r="I59" s="9">
        <v>62</v>
      </c>
      <c r="J59" s="9">
        <v>60.8</v>
      </c>
      <c r="K59" s="50">
        <v>52</v>
      </c>
      <c r="L59" s="65">
        <f>AVERAGE(585,752,655,595,597,610,675,600,631,650,610,676,655)</f>
        <v>637.76923076923072</v>
      </c>
      <c r="M59" s="50" t="s">
        <v>1153</v>
      </c>
      <c r="N59" s="9">
        <f>AVERAGE(771,705,630,799,710,820,870,721,795,729,769,925,848)</f>
        <v>776.30769230769226</v>
      </c>
      <c r="O59" s="9" t="s">
        <v>1171</v>
      </c>
      <c r="P59" s="65">
        <v>850</v>
      </c>
      <c r="Q59" s="9" t="s">
        <v>892</v>
      </c>
      <c r="R59" s="50" t="s">
        <v>28</v>
      </c>
      <c r="S59" s="65">
        <v>800</v>
      </c>
      <c r="T59" s="9" t="s">
        <v>1153</v>
      </c>
      <c r="U59" s="50" t="s">
        <v>30</v>
      </c>
    </row>
    <row r="60" spans="1:21" ht="12.6" customHeight="1">
      <c r="A60" s="26" t="s">
        <v>135</v>
      </c>
      <c r="B60" s="73" t="s">
        <v>1043</v>
      </c>
      <c r="C60" s="9">
        <v>35</v>
      </c>
      <c r="D60" s="47">
        <v>1.4</v>
      </c>
      <c r="E60" s="9">
        <f t="shared" si="3"/>
        <v>56</v>
      </c>
      <c r="F60" s="149" t="s">
        <v>445</v>
      </c>
      <c r="G60" s="75">
        <v>0.7</v>
      </c>
      <c r="H60" s="76">
        <v>0.19800000000000001</v>
      </c>
      <c r="I60" s="9">
        <v>29</v>
      </c>
      <c r="J60" s="9">
        <v>55</v>
      </c>
      <c r="K60" s="50">
        <v>43</v>
      </c>
      <c r="L60" s="65">
        <f>AVERAGE(445,425,475,430,422,442,400,405,434.348,385,398,410)</f>
        <v>422.61233333333331</v>
      </c>
      <c r="M60" s="50" t="s">
        <v>1153</v>
      </c>
      <c r="N60" s="9">
        <f>AVERAGE(499,535,469,480,526,469,450,474,499,520,530,499,459)</f>
        <v>493</v>
      </c>
      <c r="O60" s="9" t="s">
        <v>1171</v>
      </c>
      <c r="P60" s="65">
        <v>475</v>
      </c>
      <c r="Q60" s="9" t="s">
        <v>954</v>
      </c>
      <c r="R60" s="50" t="s">
        <v>948</v>
      </c>
      <c r="S60" s="136">
        <v>629</v>
      </c>
      <c r="T60" s="9" t="s">
        <v>954</v>
      </c>
      <c r="U60" s="50" t="s">
        <v>31</v>
      </c>
    </row>
    <row r="61" spans="1:21" s="26" customFormat="1" ht="12.6" customHeight="1">
      <c r="A61" s="26" t="s">
        <v>135</v>
      </c>
      <c r="B61" s="26" t="s">
        <v>1044</v>
      </c>
      <c r="C61" s="9">
        <v>35</v>
      </c>
      <c r="D61" s="10">
        <v>1.7</v>
      </c>
      <c r="E61" s="9">
        <f t="shared" si="3"/>
        <v>56</v>
      </c>
      <c r="F61" s="149" t="s">
        <v>446</v>
      </c>
      <c r="G61" s="75">
        <v>0.9</v>
      </c>
      <c r="H61" s="76">
        <v>0.22900000000000001</v>
      </c>
      <c r="I61" s="9">
        <v>40</v>
      </c>
      <c r="J61" s="154">
        <v>55</v>
      </c>
      <c r="K61" s="50">
        <v>39</v>
      </c>
      <c r="L61" s="9">
        <f>AVERAGE(315,359,365,297,310,369,320,348,338)</f>
        <v>335.66666666666669</v>
      </c>
      <c r="M61" s="50" t="s">
        <v>1153</v>
      </c>
      <c r="N61" s="9">
        <f>AVERAGE(400,385,410,420,404,425,418,425,425,429)</f>
        <v>414.1</v>
      </c>
      <c r="O61" s="9" t="s">
        <v>1171</v>
      </c>
      <c r="P61" s="65">
        <v>650</v>
      </c>
      <c r="Q61" s="9" t="s">
        <v>1153</v>
      </c>
      <c r="R61" s="50" t="s">
        <v>31</v>
      </c>
      <c r="S61" s="9">
        <v>980</v>
      </c>
      <c r="T61" s="9" t="s">
        <v>918</v>
      </c>
      <c r="U61" s="50" t="s">
        <v>474</v>
      </c>
    </row>
    <row r="62" spans="1:21" ht="12.6" customHeight="1">
      <c r="A62" s="26" t="s">
        <v>135</v>
      </c>
      <c r="B62" s="73" t="s">
        <v>1045</v>
      </c>
      <c r="C62" s="9">
        <v>35</v>
      </c>
      <c r="D62" s="47">
        <v>1.7</v>
      </c>
      <c r="E62" s="9">
        <f t="shared" si="3"/>
        <v>56</v>
      </c>
      <c r="F62" s="149" t="s">
        <v>445</v>
      </c>
      <c r="G62" s="75">
        <v>0.7</v>
      </c>
      <c r="H62" s="76">
        <v>0.33</v>
      </c>
      <c r="I62" s="9">
        <v>50.6</v>
      </c>
      <c r="J62" s="9">
        <v>53</v>
      </c>
      <c r="K62" s="50">
        <v>46</v>
      </c>
      <c r="L62" s="9">
        <f>AVERAGE(368,299,375,360)</f>
        <v>350.5</v>
      </c>
      <c r="M62" s="50" t="s">
        <v>1153</v>
      </c>
      <c r="N62" s="9">
        <f>AVERAGE(700,700,700,675,730,650,650)</f>
        <v>686.42857142857144</v>
      </c>
      <c r="O62" s="9" t="s">
        <v>1171</v>
      </c>
      <c r="P62" s="65">
        <v>395</v>
      </c>
      <c r="Q62" s="9" t="s">
        <v>1153</v>
      </c>
      <c r="R62" s="50" t="s">
        <v>26</v>
      </c>
      <c r="S62" s="136">
        <v>695</v>
      </c>
      <c r="T62" s="9" t="s">
        <v>1153</v>
      </c>
      <c r="U62" s="50" t="s">
        <v>26</v>
      </c>
    </row>
    <row r="63" spans="1:21" ht="12.6" customHeight="1">
      <c r="A63" s="26" t="s">
        <v>135</v>
      </c>
      <c r="B63" s="73" t="s">
        <v>1046</v>
      </c>
      <c r="C63" s="9">
        <v>35</v>
      </c>
      <c r="D63" s="47">
        <v>2.5</v>
      </c>
      <c r="E63" s="9">
        <f t="shared" si="3"/>
        <v>56</v>
      </c>
      <c r="F63" s="149" t="s">
        <v>446</v>
      </c>
      <c r="G63" s="75">
        <v>0.76</v>
      </c>
      <c r="H63" s="155">
        <v>0.14000000000000001</v>
      </c>
      <c r="I63" s="9">
        <v>29.5</v>
      </c>
      <c r="J63" s="9">
        <v>49.5</v>
      </c>
      <c r="K63" s="156">
        <v>43</v>
      </c>
      <c r="L63" s="9">
        <f>AVERAGE(250,216,237,188,243,222)</f>
        <v>226</v>
      </c>
      <c r="M63" s="50" t="s">
        <v>1153</v>
      </c>
      <c r="N63" s="9">
        <f>AVERAGE(320,299,297,268,255,248,309)</f>
        <v>285.14285714285717</v>
      </c>
      <c r="O63" s="9" t="s">
        <v>1171</v>
      </c>
      <c r="P63" s="65" t="s">
        <v>14</v>
      </c>
      <c r="Q63" s="9" t="s">
        <v>14</v>
      </c>
      <c r="R63" s="50" t="s">
        <v>14</v>
      </c>
      <c r="S63" s="65">
        <v>345</v>
      </c>
      <c r="T63" s="9" t="s">
        <v>954</v>
      </c>
      <c r="U63" s="50" t="s">
        <v>26</v>
      </c>
    </row>
    <row r="64" spans="1:21" ht="12.6" customHeight="1">
      <c r="A64" s="26" t="s">
        <v>135</v>
      </c>
      <c r="B64" s="73" t="s">
        <v>1047</v>
      </c>
      <c r="C64" s="9">
        <v>35</v>
      </c>
      <c r="D64" s="47">
        <v>2.5</v>
      </c>
      <c r="E64" s="9">
        <f t="shared" si="3"/>
        <v>56</v>
      </c>
      <c r="F64" s="149" t="s">
        <v>446</v>
      </c>
      <c r="G64" s="75">
        <v>0.9</v>
      </c>
      <c r="H64" s="76">
        <v>0.14000000000000001</v>
      </c>
      <c r="I64" s="154">
        <v>30</v>
      </c>
      <c r="J64" s="154">
        <v>50</v>
      </c>
      <c r="K64" s="50">
        <v>43</v>
      </c>
      <c r="L64" s="9">
        <f>AVERAGE(279,196,255,295,285)</f>
        <v>262</v>
      </c>
      <c r="M64" s="50" t="s">
        <v>1153</v>
      </c>
      <c r="N64" s="9">
        <f>AVERAGE(313,306,320,359,308,330)</f>
        <v>322.66666666666669</v>
      </c>
      <c r="O64" s="9" t="s">
        <v>1171</v>
      </c>
      <c r="P64" s="65">
        <v>210</v>
      </c>
      <c r="Q64" s="9" t="s">
        <v>954</v>
      </c>
      <c r="R64" s="50" t="s">
        <v>1062</v>
      </c>
      <c r="S64" s="65" t="s">
        <v>14</v>
      </c>
      <c r="T64" s="9" t="s">
        <v>14</v>
      </c>
      <c r="U64" s="50" t="s">
        <v>14</v>
      </c>
    </row>
    <row r="65" spans="1:21" ht="12.6" customHeight="1">
      <c r="A65" s="57" t="s">
        <v>135</v>
      </c>
      <c r="B65" s="57" t="s">
        <v>1048</v>
      </c>
      <c r="C65" s="36">
        <v>35</v>
      </c>
      <c r="D65" s="71">
        <v>2.5</v>
      </c>
      <c r="E65" s="36">
        <f t="shared" si="3"/>
        <v>56</v>
      </c>
      <c r="F65" s="153" t="s">
        <v>445</v>
      </c>
      <c r="G65" s="59">
        <v>0.7</v>
      </c>
      <c r="H65" s="40">
        <v>0.13400000000000001</v>
      </c>
      <c r="I65" s="36">
        <v>23</v>
      </c>
      <c r="J65" s="36">
        <v>55</v>
      </c>
      <c r="K65" s="52">
        <v>39</v>
      </c>
      <c r="L65" s="36">
        <f>AVERAGE(218,300,189,200,248,230,222,250,243)</f>
        <v>233.33333333333334</v>
      </c>
      <c r="M65" s="52" t="s">
        <v>1171</v>
      </c>
      <c r="N65" s="36">
        <f>AVERAGE(319,341.409,365,310,350,352,334,328,290,281,300,340,370,359)</f>
        <v>331.38635714285709</v>
      </c>
      <c r="O65" s="36" t="s">
        <v>1171</v>
      </c>
      <c r="P65" s="61">
        <v>328</v>
      </c>
      <c r="Q65" s="36" t="s">
        <v>892</v>
      </c>
      <c r="R65" s="52" t="s">
        <v>28</v>
      </c>
      <c r="S65" s="151">
        <v>425.6</v>
      </c>
      <c r="T65" s="36" t="s">
        <v>954</v>
      </c>
      <c r="U65" s="52" t="s">
        <v>327</v>
      </c>
    </row>
    <row r="66" spans="1:21" ht="12.6" customHeight="1">
      <c r="A66" s="26" t="s">
        <v>135</v>
      </c>
      <c r="B66" s="73" t="s">
        <v>1128</v>
      </c>
      <c r="C66" s="9">
        <v>40</v>
      </c>
      <c r="D66" s="47">
        <v>1.2</v>
      </c>
      <c r="E66" s="9">
        <f t="shared" si="3"/>
        <v>64</v>
      </c>
      <c r="F66" s="149" t="s">
        <v>445</v>
      </c>
      <c r="G66" s="75">
        <v>0.5</v>
      </c>
      <c r="H66" s="76">
        <v>0.315</v>
      </c>
      <c r="I66" s="9">
        <v>43.3</v>
      </c>
      <c r="J66" s="9">
        <v>60.8</v>
      </c>
      <c r="K66" s="50">
        <v>52</v>
      </c>
      <c r="L66" s="65" t="s">
        <v>14</v>
      </c>
      <c r="M66" s="50" t="s">
        <v>14</v>
      </c>
      <c r="N66" s="9" t="s">
        <v>14</v>
      </c>
      <c r="O66" s="9" t="s">
        <v>14</v>
      </c>
      <c r="P66" s="65" t="s">
        <v>14</v>
      </c>
      <c r="Q66" s="9" t="s">
        <v>14</v>
      </c>
      <c r="R66" s="50" t="s">
        <v>14</v>
      </c>
      <c r="S66" s="65">
        <v>770</v>
      </c>
      <c r="T66" s="9" t="s">
        <v>1153</v>
      </c>
      <c r="U66" s="50" t="s">
        <v>30</v>
      </c>
    </row>
    <row r="67" spans="1:21" ht="12.6" customHeight="1">
      <c r="A67" s="26" t="s">
        <v>135</v>
      </c>
      <c r="B67" s="73" t="s">
        <v>1049</v>
      </c>
      <c r="C67" s="9">
        <v>40</v>
      </c>
      <c r="D67" s="47">
        <v>1.4</v>
      </c>
      <c r="E67" s="9">
        <f t="shared" si="3"/>
        <v>64</v>
      </c>
      <c r="F67" s="149" t="s">
        <v>445</v>
      </c>
      <c r="G67" s="75">
        <v>0.7</v>
      </c>
      <c r="H67" s="76">
        <v>0.19800000000000001</v>
      </c>
      <c r="I67" s="9">
        <v>40</v>
      </c>
      <c r="J67" s="9">
        <v>55</v>
      </c>
      <c r="K67" s="50">
        <v>43</v>
      </c>
      <c r="L67" s="65">
        <f>AVERAGE(350,335,330,280,295,322,295,325,330,315,324,300,350,330)</f>
        <v>320.07142857142856</v>
      </c>
      <c r="M67" s="50" t="s">
        <v>1171</v>
      </c>
      <c r="N67" s="9">
        <f>AVERAGE(365,400,410,420,359,410,399,385,389,375,385,380)</f>
        <v>389.75</v>
      </c>
      <c r="O67" s="9" t="s">
        <v>1171</v>
      </c>
      <c r="P67" s="65">
        <v>380</v>
      </c>
      <c r="Q67" s="9" t="s">
        <v>954</v>
      </c>
      <c r="R67" s="50" t="s">
        <v>31</v>
      </c>
      <c r="S67" s="65">
        <v>395</v>
      </c>
      <c r="T67" s="9" t="s">
        <v>1153</v>
      </c>
      <c r="U67" s="50" t="s">
        <v>26</v>
      </c>
    </row>
    <row r="68" spans="1:21" ht="12.6" customHeight="1">
      <c r="A68" s="26" t="s">
        <v>135</v>
      </c>
      <c r="B68" s="73" t="s">
        <v>1050</v>
      </c>
      <c r="C68" s="9">
        <v>50</v>
      </c>
      <c r="D68" s="47">
        <v>1.1000000000000001</v>
      </c>
      <c r="E68" s="9">
        <f t="shared" si="3"/>
        <v>80</v>
      </c>
      <c r="F68" s="149" t="s">
        <v>445</v>
      </c>
      <c r="G68" s="75">
        <v>1</v>
      </c>
      <c r="H68" s="76">
        <v>0.42799999999999999</v>
      </c>
      <c r="I68" s="9">
        <v>57</v>
      </c>
      <c r="J68" s="9">
        <v>69.599999999999994</v>
      </c>
      <c r="K68" s="50">
        <v>58</v>
      </c>
      <c r="L68" s="65">
        <f>AVERAGE(498,406,456,530,465,406,530,485,558,566)</f>
        <v>490</v>
      </c>
      <c r="M68" s="50" t="s">
        <v>1171</v>
      </c>
      <c r="N68" s="9">
        <f>AVERAGE(595,699,679,639,660,658,610,675,658,690,740,680)</f>
        <v>665.25</v>
      </c>
      <c r="O68" s="9" t="s">
        <v>1171</v>
      </c>
      <c r="P68" s="65">
        <v>792</v>
      </c>
      <c r="Q68" s="9" t="s">
        <v>954</v>
      </c>
      <c r="R68" s="50" t="s">
        <v>28</v>
      </c>
      <c r="S68" s="65">
        <v>790</v>
      </c>
      <c r="T68" s="9" t="s">
        <v>1153</v>
      </c>
      <c r="U68" s="50" t="s">
        <v>30</v>
      </c>
    </row>
    <row r="69" spans="1:21" ht="12.6" customHeight="1">
      <c r="A69" s="26" t="s">
        <v>135</v>
      </c>
      <c r="B69" s="73" t="s">
        <v>1133</v>
      </c>
      <c r="C69" s="9">
        <v>50</v>
      </c>
      <c r="D69" s="47">
        <v>1.2</v>
      </c>
      <c r="E69" s="9">
        <f t="shared" si="3"/>
        <v>80</v>
      </c>
      <c r="F69" s="149" t="s">
        <v>445</v>
      </c>
      <c r="G69" s="75">
        <v>0.7</v>
      </c>
      <c r="H69" s="76">
        <v>0.34699999999999998</v>
      </c>
      <c r="I69" s="9">
        <v>49</v>
      </c>
      <c r="J69" s="9">
        <v>63.3</v>
      </c>
      <c r="K69" s="50">
        <v>52</v>
      </c>
      <c r="L69" s="65">
        <f t="shared" ref="L69" si="6">AVERAGE(0)</f>
        <v>0</v>
      </c>
      <c r="M69" s="50" t="s">
        <v>14</v>
      </c>
      <c r="N69" s="9">
        <f t="shared" ref="N69" si="7">AVERAGE(0)</f>
        <v>0</v>
      </c>
      <c r="O69" s="9" t="s">
        <v>14</v>
      </c>
      <c r="P69" s="65" t="s">
        <v>14</v>
      </c>
      <c r="Q69" s="9" t="s">
        <v>14</v>
      </c>
      <c r="R69" s="50" t="s">
        <v>14</v>
      </c>
      <c r="S69" s="65" t="s">
        <v>14</v>
      </c>
      <c r="T69" s="9" t="s">
        <v>14</v>
      </c>
      <c r="U69" s="50" t="s">
        <v>14</v>
      </c>
    </row>
    <row r="70" spans="1:21" ht="12.6" customHeight="1">
      <c r="A70" s="26" t="s">
        <v>135</v>
      </c>
      <c r="B70" s="157" t="s">
        <v>1051</v>
      </c>
      <c r="C70" s="9">
        <v>50</v>
      </c>
      <c r="D70" s="47">
        <v>1.5</v>
      </c>
      <c r="E70" s="9">
        <f t="shared" si="3"/>
        <v>80</v>
      </c>
      <c r="F70" s="149" t="s">
        <v>446</v>
      </c>
      <c r="G70" s="75">
        <v>0.9</v>
      </c>
      <c r="H70" s="76">
        <v>0.27500000000000002</v>
      </c>
      <c r="I70" s="9">
        <v>45</v>
      </c>
      <c r="J70" s="9">
        <v>58</v>
      </c>
      <c r="K70" s="50">
        <v>52</v>
      </c>
      <c r="L70" s="65">
        <f>AVERAGE(405,426,395,339,415,348,389,379,370,330,375)</f>
        <v>379.18181818181819</v>
      </c>
      <c r="M70" s="50" t="s">
        <v>1171</v>
      </c>
      <c r="N70" s="9">
        <f>AVERAGE(467,526,525,548,596,549,558,471,621,555,509,500,551)</f>
        <v>536.61538461538464</v>
      </c>
      <c r="O70" s="9" t="s">
        <v>1153</v>
      </c>
      <c r="P70" s="65">
        <v>500</v>
      </c>
      <c r="Q70" s="9" t="s">
        <v>954</v>
      </c>
      <c r="R70" s="50" t="s">
        <v>28</v>
      </c>
      <c r="S70" s="65">
        <v>790.4</v>
      </c>
      <c r="T70" s="9" t="s">
        <v>892</v>
      </c>
      <c r="U70" s="50" t="s">
        <v>873</v>
      </c>
    </row>
    <row r="71" spans="1:21" ht="12.6" customHeight="1">
      <c r="A71" s="26" t="s">
        <v>135</v>
      </c>
      <c r="B71" s="157" t="s">
        <v>1052</v>
      </c>
      <c r="C71" s="9">
        <v>50</v>
      </c>
      <c r="D71" s="47">
        <v>1.5</v>
      </c>
      <c r="E71" s="9">
        <f t="shared" si="3"/>
        <v>80</v>
      </c>
      <c r="F71" s="149" t="s">
        <v>445</v>
      </c>
      <c r="G71" s="75">
        <v>0.7</v>
      </c>
      <c r="H71" s="76">
        <v>0.22</v>
      </c>
      <c r="I71" s="9">
        <v>47.7</v>
      </c>
      <c r="J71" s="9">
        <v>53.8</v>
      </c>
      <c r="K71" s="50">
        <v>49</v>
      </c>
      <c r="L71" s="65">
        <f>AVERAGE(405,400,436,331,325,350,385,375,395,459,395,425)</f>
        <v>390.08333333333331</v>
      </c>
      <c r="M71" s="50" t="s">
        <v>1171</v>
      </c>
      <c r="N71" s="9">
        <f>AVERAGE(630,578,599,659)</f>
        <v>616.5</v>
      </c>
      <c r="O71" s="9" t="s">
        <v>1153</v>
      </c>
      <c r="P71" s="65">
        <v>640</v>
      </c>
      <c r="Q71" s="9" t="s">
        <v>1153</v>
      </c>
      <c r="R71" s="50" t="s">
        <v>30</v>
      </c>
      <c r="S71" s="65">
        <v>690</v>
      </c>
      <c r="T71" s="9" t="s">
        <v>1153</v>
      </c>
      <c r="U71" s="50" t="s">
        <v>31</v>
      </c>
    </row>
    <row r="72" spans="1:21" ht="12.6" customHeight="1">
      <c r="A72" s="26" t="s">
        <v>135</v>
      </c>
      <c r="B72" s="157" t="s">
        <v>1053</v>
      </c>
      <c r="C72" s="9">
        <v>50</v>
      </c>
      <c r="D72" s="10">
        <v>2</v>
      </c>
      <c r="E72" s="9">
        <f t="shared" si="3"/>
        <v>80</v>
      </c>
      <c r="F72" s="149" t="s">
        <v>445</v>
      </c>
      <c r="G72" s="75">
        <v>1</v>
      </c>
      <c r="H72" s="76">
        <v>0.29499999999999998</v>
      </c>
      <c r="I72" s="9">
        <v>30</v>
      </c>
      <c r="J72" s="9">
        <v>51</v>
      </c>
      <c r="K72" s="50">
        <v>39</v>
      </c>
      <c r="L72" s="9">
        <f t="shared" ref="L72" si="8">AVERAGE(0)</f>
        <v>0</v>
      </c>
      <c r="M72" s="50" t="s">
        <v>14</v>
      </c>
      <c r="N72" s="9">
        <f>AVERAGE(640,675)</f>
        <v>657.5</v>
      </c>
      <c r="O72" s="9" t="s">
        <v>954</v>
      </c>
      <c r="P72" s="65">
        <v>450</v>
      </c>
      <c r="Q72" s="9" t="s">
        <v>1153</v>
      </c>
      <c r="R72" s="50" t="s">
        <v>30</v>
      </c>
      <c r="S72" s="65">
        <v>475</v>
      </c>
      <c r="T72" s="9" t="s">
        <v>1153</v>
      </c>
      <c r="U72" s="50" t="s">
        <v>26</v>
      </c>
    </row>
    <row r="73" spans="1:21" ht="12.6" customHeight="1">
      <c r="A73" s="26" t="s">
        <v>135</v>
      </c>
      <c r="B73" s="157" t="s">
        <v>1054</v>
      </c>
      <c r="C73" s="9">
        <v>50</v>
      </c>
      <c r="D73" s="10">
        <v>2.5</v>
      </c>
      <c r="E73" s="9">
        <f t="shared" si="3"/>
        <v>80</v>
      </c>
      <c r="F73" s="149" t="s">
        <v>446</v>
      </c>
      <c r="G73" s="75">
        <v>0.75</v>
      </c>
      <c r="H73" s="76">
        <v>0.24</v>
      </c>
      <c r="I73" s="9">
        <v>27</v>
      </c>
      <c r="J73" s="9">
        <v>49.6</v>
      </c>
      <c r="K73" s="50">
        <v>39</v>
      </c>
      <c r="L73" s="9">
        <f>AVERAGE(373,375,342,219)</f>
        <v>327.25</v>
      </c>
      <c r="M73" s="50" t="s">
        <v>1171</v>
      </c>
      <c r="N73" s="9">
        <f>AVERAGE(500,373,398,380,385,375,430)</f>
        <v>405.85714285714283</v>
      </c>
      <c r="O73" s="9" t="s">
        <v>1171</v>
      </c>
      <c r="P73" s="65" t="s">
        <v>14</v>
      </c>
      <c r="Q73" s="9" t="s">
        <v>14</v>
      </c>
      <c r="R73" s="50" t="s">
        <v>14</v>
      </c>
      <c r="S73" s="65">
        <v>290</v>
      </c>
      <c r="T73" s="9" t="s">
        <v>1040</v>
      </c>
      <c r="U73" s="50" t="s">
        <v>474</v>
      </c>
    </row>
    <row r="74" spans="1:21" ht="12.6" customHeight="1">
      <c r="A74" s="57" t="s">
        <v>135</v>
      </c>
      <c r="B74" s="57" t="s">
        <v>1055</v>
      </c>
      <c r="C74" s="36">
        <v>50</v>
      </c>
      <c r="D74" s="71">
        <v>3.5</v>
      </c>
      <c r="E74" s="36">
        <f t="shared" si="3"/>
        <v>80</v>
      </c>
      <c r="F74" s="153" t="s">
        <v>446</v>
      </c>
      <c r="G74" s="59">
        <v>1</v>
      </c>
      <c r="H74" s="40">
        <v>0.17</v>
      </c>
      <c r="I74" s="36">
        <v>28</v>
      </c>
      <c r="J74" s="36">
        <v>47</v>
      </c>
      <c r="K74" s="52">
        <v>27</v>
      </c>
      <c r="L74" s="36">
        <f>AVERAGE(370,310,217,370,340,419)</f>
        <v>337.66666666666669</v>
      </c>
      <c r="M74" s="52" t="s">
        <v>1171</v>
      </c>
      <c r="N74" s="36">
        <f>AVERAGE(437,450,650,547,498)</f>
        <v>516.4</v>
      </c>
      <c r="O74" s="36" t="s">
        <v>1171</v>
      </c>
      <c r="P74" s="61" t="s">
        <v>14</v>
      </c>
      <c r="Q74" s="36" t="s">
        <v>14</v>
      </c>
      <c r="R74" s="52" t="s">
        <v>14</v>
      </c>
      <c r="S74" s="151">
        <v>650</v>
      </c>
      <c r="T74" s="36" t="s">
        <v>918</v>
      </c>
      <c r="U74" s="52" t="s">
        <v>474</v>
      </c>
    </row>
    <row r="75" spans="1:21" ht="12.6" customHeight="1">
      <c r="A75" s="26" t="s">
        <v>135</v>
      </c>
      <c r="B75" s="26" t="s">
        <v>1056</v>
      </c>
      <c r="C75" s="9">
        <v>75</v>
      </c>
      <c r="D75" s="10">
        <v>1.8</v>
      </c>
      <c r="E75" s="9">
        <f t="shared" si="3"/>
        <v>120</v>
      </c>
      <c r="F75" s="158" t="s">
        <v>445</v>
      </c>
      <c r="G75" s="75">
        <v>0.9</v>
      </c>
      <c r="H75" s="76">
        <v>0.42699999999999999</v>
      </c>
      <c r="I75" s="9">
        <v>73.8</v>
      </c>
      <c r="J75" s="9">
        <v>57.9</v>
      </c>
      <c r="K75" s="50">
        <v>52</v>
      </c>
      <c r="L75" s="65">
        <f>AVERAGE(400,367,400,465,380,363,440,460,402,480,368,400,494)</f>
        <v>416.84615384615387</v>
      </c>
      <c r="M75" s="50" t="s">
        <v>1171</v>
      </c>
      <c r="N75" s="9">
        <f>AVERAGE(495,505,459,495,489,559,480,515,574,580,499,523,490)</f>
        <v>512.53846153846155</v>
      </c>
      <c r="O75" s="9" t="s">
        <v>1171</v>
      </c>
      <c r="P75" s="65">
        <v>528.20000000000005</v>
      </c>
      <c r="Q75" s="9" t="s">
        <v>1153</v>
      </c>
      <c r="R75" s="50" t="s">
        <v>873</v>
      </c>
      <c r="S75" s="65">
        <v>560</v>
      </c>
      <c r="T75" s="9" t="s">
        <v>954</v>
      </c>
      <c r="U75" s="50" t="s">
        <v>31</v>
      </c>
    </row>
    <row r="76" spans="1:21" ht="12.6" customHeight="1">
      <c r="A76" s="26" t="s">
        <v>135</v>
      </c>
      <c r="B76" s="73" t="s">
        <v>1057</v>
      </c>
      <c r="C76" s="9">
        <v>75</v>
      </c>
      <c r="D76" s="47">
        <v>2.5</v>
      </c>
      <c r="E76" s="9">
        <f t="shared" si="3"/>
        <v>120</v>
      </c>
      <c r="F76" s="149" t="s">
        <v>446</v>
      </c>
      <c r="G76" s="75">
        <v>1</v>
      </c>
      <c r="H76" s="76">
        <v>0.26</v>
      </c>
      <c r="I76" s="9">
        <v>51</v>
      </c>
      <c r="J76" s="9">
        <v>55</v>
      </c>
      <c r="K76" s="50">
        <v>43</v>
      </c>
      <c r="L76" s="65">
        <f>AVERAGE(220,284,215,337,338,265,202,227,248,346)</f>
        <v>268.2</v>
      </c>
      <c r="M76" s="50" t="s">
        <v>1171</v>
      </c>
      <c r="N76" s="9">
        <f>AVERAGE(478,395,440,369,395,399,379,399,419)</f>
        <v>408.11111111111109</v>
      </c>
      <c r="O76" s="9" t="s">
        <v>1153</v>
      </c>
      <c r="P76" s="65">
        <v>468</v>
      </c>
      <c r="Q76" s="9" t="s">
        <v>954</v>
      </c>
      <c r="R76" s="50" t="s">
        <v>28</v>
      </c>
      <c r="S76" s="136">
        <v>690</v>
      </c>
      <c r="T76" s="9" t="s">
        <v>918</v>
      </c>
      <c r="U76" s="50" t="s">
        <v>474</v>
      </c>
    </row>
    <row r="77" spans="1:21" s="21" customFormat="1" ht="12.6" customHeight="1">
      <c r="A77" s="57" t="s">
        <v>135</v>
      </c>
      <c r="B77" s="67" t="s">
        <v>1058</v>
      </c>
      <c r="C77" s="36">
        <v>90</v>
      </c>
      <c r="D77" s="41">
        <v>3.5</v>
      </c>
      <c r="E77" s="36">
        <f t="shared" si="3"/>
        <v>144</v>
      </c>
      <c r="F77" s="60" t="s">
        <v>446</v>
      </c>
      <c r="G77" s="59">
        <v>1</v>
      </c>
      <c r="H77" s="40">
        <v>0.26</v>
      </c>
      <c r="I77" s="36">
        <v>90</v>
      </c>
      <c r="J77" s="36">
        <v>51</v>
      </c>
      <c r="K77" s="52" t="s">
        <v>14</v>
      </c>
      <c r="L77" s="61">
        <f>AVERAGE(328,340,319,305,349)</f>
        <v>328.2</v>
      </c>
      <c r="M77" s="52" t="s">
        <v>1153</v>
      </c>
      <c r="N77" s="36">
        <f t="shared" ref="N77" si="9">AVERAGE(0)</f>
        <v>0</v>
      </c>
      <c r="O77" s="52" t="s">
        <v>14</v>
      </c>
      <c r="P77" s="61">
        <v>380</v>
      </c>
      <c r="Q77" s="36" t="s">
        <v>1153</v>
      </c>
      <c r="R77" s="52" t="s">
        <v>28</v>
      </c>
      <c r="S77" s="151">
        <v>300</v>
      </c>
      <c r="T77" s="36" t="s">
        <v>892</v>
      </c>
      <c r="U77" s="52" t="s">
        <v>30</v>
      </c>
    </row>
    <row r="79" spans="1:21" s="21" customFormat="1" ht="12.6" customHeight="1">
      <c r="A79" s="57"/>
      <c r="B79" s="67"/>
      <c r="C79" s="36"/>
      <c r="D79" s="41"/>
      <c r="E79" s="36"/>
      <c r="F79" s="40"/>
      <c r="G79" s="41"/>
      <c r="H79" s="40"/>
      <c r="I79" s="36"/>
      <c r="J79" s="36"/>
      <c r="K79" s="36"/>
      <c r="L79" s="36"/>
      <c r="M79" s="36"/>
      <c r="N79" s="36"/>
      <c r="O79" s="36"/>
      <c r="P79" s="36"/>
      <c r="Q79" s="36"/>
      <c r="R79" s="36"/>
      <c r="S79" s="166"/>
      <c r="T79" s="36"/>
      <c r="U79" s="36"/>
    </row>
  </sheetData>
  <sheetProtection password="990B" sheet="1" objects="1" scenarios="1"/>
  <pageMargins left="0.3" right="0" top="0.5" bottom="0" header="0.59055118110236204" footer="0.511811023622047"/>
  <pageSetup orientation="landscape" r:id="rId1"/>
  <headerFooter alignWithMargins="0">
    <oddHeader>&amp;R&amp;9(&amp;P of &amp;N)</oddHeader>
  </headerFooter>
  <rowBreaks count="2" manualBreakCount="2">
    <brk id="41" max="16383" man="1"/>
    <brk id="7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Y37"/>
  <sheetViews>
    <sheetView zoomScaleNormal="100" workbookViewId="0"/>
  </sheetViews>
  <sheetFormatPr defaultColWidth="9.140625" defaultRowHeight="12.6" customHeight="1"/>
  <cols>
    <col min="1" max="1" width="8.7109375" style="27" customWidth="1"/>
    <col min="2" max="2" width="19.28515625" style="33" customWidth="1"/>
    <col min="3" max="3" width="6.28515625" style="28" customWidth="1"/>
    <col min="4" max="4" width="6.5703125" style="32" customWidth="1"/>
    <col min="5" max="5" width="6.5703125" style="31" customWidth="1"/>
    <col min="6" max="6" width="4.7109375" style="32" customWidth="1"/>
    <col min="7" max="10" width="5.7109375" style="28" customWidth="1"/>
    <col min="11" max="11" width="5.7109375" style="30" customWidth="1"/>
    <col min="12" max="12" width="6.140625" style="28" customWidth="1"/>
    <col min="13" max="13" width="5.28515625" style="30" customWidth="1"/>
    <col min="14" max="14" width="5.28515625" style="28" customWidth="1"/>
    <col min="15" max="16" width="5.28515625" style="30" customWidth="1"/>
    <col min="17" max="17" width="5.28515625" style="29" customWidth="1"/>
    <col min="18" max="20" width="5.28515625" style="30" customWidth="1"/>
    <col min="21" max="21" width="6.28515625" style="30" customWidth="1"/>
    <col min="22" max="22" width="5.85546875" style="30" customWidth="1"/>
    <col min="23" max="23" width="1.85546875" style="30" customWidth="1"/>
    <col min="24" max="25" width="5.85546875" style="30" customWidth="1"/>
    <col min="26" max="16384" width="9.140625" style="27"/>
  </cols>
  <sheetData>
    <row r="1" spans="1:25" s="14" customFormat="1" ht="15" customHeight="1">
      <c r="A1" s="23" t="s">
        <v>147</v>
      </c>
      <c r="B1" s="15"/>
      <c r="C1" s="16" t="s">
        <v>14</v>
      </c>
      <c r="D1" s="17" t="s">
        <v>14</v>
      </c>
      <c r="E1" s="16" t="s">
        <v>14</v>
      </c>
      <c r="F1" s="24" t="s">
        <v>14</v>
      </c>
      <c r="G1" s="18" t="s">
        <v>14</v>
      </c>
      <c r="H1" s="19" t="s">
        <v>14</v>
      </c>
      <c r="I1" s="20" t="s">
        <v>14</v>
      </c>
      <c r="J1" s="15" t="s">
        <v>14</v>
      </c>
      <c r="K1" s="20" t="s">
        <v>14</v>
      </c>
      <c r="L1" s="20" t="s">
        <v>14</v>
      </c>
      <c r="M1" s="21" t="s">
        <v>14</v>
      </c>
      <c r="N1" s="20" t="s">
        <v>14</v>
      </c>
      <c r="O1" s="21" t="s">
        <v>14</v>
      </c>
      <c r="P1" s="9" t="s">
        <v>14</v>
      </c>
      <c r="Q1" s="9" t="s">
        <v>14</v>
      </c>
      <c r="R1" s="22" t="s">
        <v>885</v>
      </c>
      <c r="S1" s="22"/>
      <c r="T1" s="9" t="s">
        <v>14</v>
      </c>
      <c r="U1" s="22" t="s">
        <v>14</v>
      </c>
      <c r="V1" s="21"/>
      <c r="W1" s="21"/>
      <c r="X1" s="21"/>
      <c r="Y1" s="21"/>
    </row>
    <row r="2" spans="1:25" s="14" customFormat="1" ht="12.6" customHeight="1">
      <c r="A2" s="73" t="str">
        <f>i!A3</f>
        <v>v.34</v>
      </c>
      <c r="B2" s="15" t="s">
        <v>14</v>
      </c>
      <c r="C2" s="16" t="s">
        <v>14</v>
      </c>
      <c r="D2" s="17" t="s">
        <v>14</v>
      </c>
      <c r="E2" s="16" t="s">
        <v>14</v>
      </c>
      <c r="F2" s="34" t="s">
        <v>14</v>
      </c>
      <c r="G2" s="35" t="s">
        <v>14</v>
      </c>
      <c r="H2" s="34" t="s">
        <v>14</v>
      </c>
      <c r="I2" s="20" t="s">
        <v>14</v>
      </c>
      <c r="J2" s="20" t="s">
        <v>14</v>
      </c>
      <c r="K2" s="20" t="s">
        <v>14</v>
      </c>
      <c r="L2" s="22" t="s">
        <v>14</v>
      </c>
      <c r="M2" s="22" t="s">
        <v>14</v>
      </c>
      <c r="N2" s="36" t="s">
        <v>14</v>
      </c>
      <c r="O2" s="36" t="s">
        <v>14</v>
      </c>
      <c r="P2" s="36" t="s">
        <v>14</v>
      </c>
      <c r="Q2" s="36" t="s">
        <v>14</v>
      </c>
      <c r="R2" s="22" t="s">
        <v>14</v>
      </c>
      <c r="S2" s="36" t="s">
        <v>14</v>
      </c>
      <c r="T2" s="36" t="s">
        <v>14</v>
      </c>
      <c r="U2" s="22" t="s">
        <v>14</v>
      </c>
      <c r="V2" s="21"/>
      <c r="W2" s="21"/>
      <c r="X2" s="21"/>
      <c r="Y2" s="21"/>
    </row>
    <row r="3" spans="1:25" s="24" customFormat="1" ht="12.6" customHeight="1">
      <c r="A3" s="24" t="s">
        <v>14</v>
      </c>
      <c r="B3" s="15" t="s">
        <v>14</v>
      </c>
      <c r="C3" s="37" t="s">
        <v>14</v>
      </c>
      <c r="D3" s="38" t="s">
        <v>14</v>
      </c>
      <c r="E3" s="37" t="s">
        <v>14</v>
      </c>
      <c r="F3" s="39" t="s">
        <v>14</v>
      </c>
      <c r="G3" s="40" t="s">
        <v>14</v>
      </c>
      <c r="H3" s="41" t="s">
        <v>14</v>
      </c>
      <c r="I3" s="36" t="s">
        <v>14</v>
      </c>
      <c r="J3" s="36" t="s">
        <v>14</v>
      </c>
      <c r="K3" s="36" t="s">
        <v>14</v>
      </c>
      <c r="L3" s="42" t="s">
        <v>14</v>
      </c>
      <c r="M3" s="43" t="s">
        <v>14</v>
      </c>
      <c r="N3" s="44" t="s">
        <v>15</v>
      </c>
      <c r="O3" s="43" t="s">
        <v>14</v>
      </c>
      <c r="P3" s="42" t="s">
        <v>14</v>
      </c>
      <c r="Q3" s="43" t="s">
        <v>14</v>
      </c>
      <c r="R3" s="44" t="s">
        <v>16</v>
      </c>
      <c r="S3" s="43" t="s">
        <v>14</v>
      </c>
      <c r="T3" s="43" t="s">
        <v>14</v>
      </c>
      <c r="U3" s="45" t="s">
        <v>14</v>
      </c>
      <c r="V3" s="13"/>
      <c r="W3" s="13"/>
      <c r="X3" s="13"/>
      <c r="Y3" s="13"/>
    </row>
    <row r="4" spans="1:25" s="26" customFormat="1" ht="12.6" customHeight="1">
      <c r="A4" s="24" t="s">
        <v>140</v>
      </c>
      <c r="B4" s="46"/>
      <c r="C4" s="9" t="s">
        <v>4</v>
      </c>
      <c r="D4" s="47" t="s">
        <v>9</v>
      </c>
      <c r="E4" s="9" t="s">
        <v>599</v>
      </c>
      <c r="F4" s="48" t="s">
        <v>11</v>
      </c>
      <c r="G4" s="49" t="s">
        <v>264</v>
      </c>
      <c r="H4" s="47" t="s">
        <v>5</v>
      </c>
      <c r="I4" s="9" t="s">
        <v>298</v>
      </c>
      <c r="J4" s="9" t="s">
        <v>299</v>
      </c>
      <c r="K4" s="50" t="s">
        <v>300</v>
      </c>
      <c r="L4" s="51" t="s">
        <v>450</v>
      </c>
      <c r="M4" s="52"/>
      <c r="N4" s="53" t="s">
        <v>17</v>
      </c>
      <c r="O4" s="36"/>
      <c r="P4" s="54"/>
      <c r="Q4" s="55" t="s">
        <v>451</v>
      </c>
      <c r="R4" s="52"/>
      <c r="S4" s="56"/>
      <c r="T4" s="55" t="s">
        <v>7</v>
      </c>
      <c r="U4" s="52"/>
      <c r="V4" s="10"/>
      <c r="W4" s="10"/>
      <c r="X4" s="10"/>
      <c r="Y4" s="10"/>
    </row>
    <row r="5" spans="1:25" s="26" customFormat="1" ht="12.6" customHeight="1">
      <c r="A5" s="57" t="s">
        <v>14</v>
      </c>
      <c r="B5" s="58" t="s">
        <v>14</v>
      </c>
      <c r="C5" s="36" t="s">
        <v>18</v>
      </c>
      <c r="D5" s="41" t="s">
        <v>14</v>
      </c>
      <c r="E5" s="36" t="s">
        <v>14</v>
      </c>
      <c r="F5" s="59" t="s">
        <v>14</v>
      </c>
      <c r="G5" s="60" t="s">
        <v>34</v>
      </c>
      <c r="H5" s="41" t="s">
        <v>19</v>
      </c>
      <c r="I5" s="36" t="s">
        <v>18</v>
      </c>
      <c r="J5" s="36" t="s">
        <v>18</v>
      </c>
      <c r="K5" s="52" t="s">
        <v>18</v>
      </c>
      <c r="L5" s="65" t="s">
        <v>20</v>
      </c>
      <c r="M5" s="50" t="s">
        <v>21</v>
      </c>
      <c r="N5" s="9" t="s">
        <v>20</v>
      </c>
      <c r="O5" s="50" t="s">
        <v>21</v>
      </c>
      <c r="P5" s="9" t="s">
        <v>20</v>
      </c>
      <c r="Q5" s="9" t="s">
        <v>21</v>
      </c>
      <c r="R5" s="78" t="s">
        <v>22</v>
      </c>
      <c r="S5" s="9" t="s">
        <v>20</v>
      </c>
      <c r="T5" s="9" t="s">
        <v>21</v>
      </c>
      <c r="U5" s="78" t="s">
        <v>22</v>
      </c>
      <c r="V5" s="10"/>
      <c r="W5" s="10"/>
      <c r="X5" s="10"/>
      <c r="Y5" s="10"/>
    </row>
    <row r="6" spans="1:25" s="14" customFormat="1" ht="12" customHeight="1">
      <c r="A6" s="120" t="str">
        <f>'645'!A11</f>
        <v>Mamiya</v>
      </c>
      <c r="B6" s="121" t="str">
        <f>'645'!B11</f>
        <v>Mamiya-Sekor C 55/2.8 N</v>
      </c>
      <c r="C6" s="122">
        <f>'645'!C11</f>
        <v>55</v>
      </c>
      <c r="D6" s="122" t="str">
        <f>'645'!D11</f>
        <v>2.8</v>
      </c>
      <c r="E6" s="122">
        <f>'645'!E11</f>
        <v>88</v>
      </c>
      <c r="F6" s="123" t="str">
        <f>'645'!F11</f>
        <v>M645</v>
      </c>
      <c r="G6" s="48">
        <f>'645'!G11</f>
        <v>0.45</v>
      </c>
      <c r="H6" s="124">
        <f>'645'!H11</f>
        <v>0.30499999999999999</v>
      </c>
      <c r="I6" s="125">
        <f>'645'!I11</f>
        <v>59</v>
      </c>
      <c r="J6" s="125">
        <f>'645'!J11</f>
        <v>70</v>
      </c>
      <c r="K6" s="122">
        <f>'645'!K11</f>
        <v>58</v>
      </c>
      <c r="L6" s="77">
        <f>'645'!L11</f>
        <v>129.30769230769232</v>
      </c>
      <c r="M6" s="126" t="str">
        <f>'645'!M11</f>
        <v>.18-07</v>
      </c>
      <c r="N6" s="77">
        <f>'645'!N11</f>
        <v>173.84615384615384</v>
      </c>
      <c r="O6" s="126" t="str">
        <f>'645'!O11</f>
        <v>.18-07</v>
      </c>
      <c r="P6" s="77">
        <f>'645'!P11</f>
        <v>133</v>
      </c>
      <c r="Q6" s="126" t="str">
        <f>'645'!Q11</f>
        <v>.16-01</v>
      </c>
      <c r="R6" s="78" t="str">
        <f>'645'!R11</f>
        <v>keh</v>
      </c>
      <c r="S6" s="77">
        <f>'645'!S11</f>
        <v>170</v>
      </c>
      <c r="T6" s="126" t="str">
        <f>'645'!T11</f>
        <v>.16-01</v>
      </c>
      <c r="U6" s="78" t="str">
        <f>'645'!U11</f>
        <v>b&amp;h</v>
      </c>
      <c r="V6" s="34"/>
    </row>
    <row r="7" spans="1:25" s="14" customFormat="1" ht="12" customHeight="1">
      <c r="A7" s="127" t="str">
        <f>'645'!A14</f>
        <v>Mamiya</v>
      </c>
      <c r="B7" s="26" t="str">
        <f>'645'!B14</f>
        <v>Mamiya-Sekor C 80/2.8 N</v>
      </c>
      <c r="C7" s="10">
        <f>'645'!C14</f>
        <v>80</v>
      </c>
      <c r="D7" s="10" t="str">
        <f>'645'!D14</f>
        <v>2.8</v>
      </c>
      <c r="E7" s="10">
        <f>'645'!E14</f>
        <v>128</v>
      </c>
      <c r="F7" s="74" t="str">
        <f>'645'!F14</f>
        <v>M645</v>
      </c>
      <c r="G7" s="75">
        <f>'645'!G14</f>
        <v>0.7</v>
      </c>
      <c r="H7" s="76">
        <f>'645'!H14</f>
        <v>0.22</v>
      </c>
      <c r="I7" s="9">
        <f>'645'!I14</f>
        <v>43</v>
      </c>
      <c r="J7" s="9">
        <f>'645'!J14</f>
        <v>70</v>
      </c>
      <c r="K7" s="10">
        <f>'645'!K14</f>
        <v>58</v>
      </c>
      <c r="L7" s="65">
        <f>'645'!L14</f>
        <v>98.769230769230774</v>
      </c>
      <c r="M7" s="25" t="str">
        <f>'645'!M14</f>
        <v>.18-07</v>
      </c>
      <c r="N7" s="65">
        <f>'645'!N14</f>
        <v>147.66666666666666</v>
      </c>
      <c r="O7" s="25" t="str">
        <f>'645'!O14</f>
        <v>.18-07</v>
      </c>
      <c r="P7" s="65">
        <f>'645'!P14</f>
        <v>90</v>
      </c>
      <c r="Q7" s="25" t="str">
        <f>'645'!Q14</f>
        <v>.16-01</v>
      </c>
      <c r="R7" s="50" t="str">
        <f>'645'!R14</f>
        <v>keh</v>
      </c>
      <c r="S7" s="65">
        <f>'645'!S14</f>
        <v>120</v>
      </c>
      <c r="T7" s="25" t="str">
        <f>'645'!T14</f>
        <v>.15-04</v>
      </c>
      <c r="U7" s="50" t="str">
        <f>'645'!U14</f>
        <v>keh</v>
      </c>
      <c r="V7" s="34"/>
    </row>
    <row r="8" spans="1:25" s="14" customFormat="1" ht="12" customHeight="1">
      <c r="A8" s="128" t="str">
        <f>'645'!A16</f>
        <v>Mamiya</v>
      </c>
      <c r="B8" s="57" t="str">
        <f>'645'!B16</f>
        <v>Mamiya-Sekor C 110/2.8 N</v>
      </c>
      <c r="C8" s="71">
        <f>'645'!C16</f>
        <v>110</v>
      </c>
      <c r="D8" s="71" t="str">
        <f>'645'!D16</f>
        <v>2.8</v>
      </c>
      <c r="E8" s="71">
        <f>'645'!E16</f>
        <v>176</v>
      </c>
      <c r="F8" s="72" t="str">
        <f>'645'!F16</f>
        <v>M645</v>
      </c>
      <c r="G8" s="59">
        <f>'645'!G16</f>
        <v>1.2</v>
      </c>
      <c r="H8" s="40">
        <f>'645'!H16</f>
        <v>0.39</v>
      </c>
      <c r="I8" s="36">
        <f>'645'!I16</f>
        <v>60</v>
      </c>
      <c r="J8" s="36">
        <f>'645'!J16</f>
        <v>70</v>
      </c>
      <c r="K8" s="71">
        <f>'645'!K16</f>
        <v>58</v>
      </c>
      <c r="L8" s="61">
        <f>'645'!L16</f>
        <v>143.66666666666666</v>
      </c>
      <c r="M8" s="68" t="str">
        <f>'645'!M16</f>
        <v>.18-07</v>
      </c>
      <c r="N8" s="61">
        <f>'645'!N16</f>
        <v>214.09090909090909</v>
      </c>
      <c r="O8" s="68" t="str">
        <f>'645'!O16</f>
        <v>.18-07</v>
      </c>
      <c r="P8" s="61">
        <f>'645'!P16</f>
        <v>110</v>
      </c>
      <c r="Q8" s="68" t="str">
        <f>'645'!Q16</f>
        <v>.15-03</v>
      </c>
      <c r="R8" s="52" t="str">
        <f>'645'!R16</f>
        <v>keh</v>
      </c>
      <c r="S8" s="61">
        <f>'645'!S16</f>
        <v>150</v>
      </c>
      <c r="T8" s="68" t="str">
        <f>'645'!T16</f>
        <v>.16-01</v>
      </c>
      <c r="U8" s="52" t="str">
        <f>'645'!U16</f>
        <v>b&amp;h</v>
      </c>
      <c r="V8" s="34"/>
    </row>
    <row r="9" spans="1:25" s="14" customFormat="1" ht="12" customHeight="1">
      <c r="A9" s="129" t="str">
        <f>'645'!A23</f>
        <v>Mamiya</v>
      </c>
      <c r="B9" s="130" t="str">
        <f>'645'!B23</f>
        <v xml:space="preserve">Mamiya A 150/2.8 </v>
      </c>
      <c r="C9" s="131">
        <f>'645'!C23</f>
        <v>150</v>
      </c>
      <c r="D9" s="131" t="str">
        <f>'645'!D23</f>
        <v>2.8</v>
      </c>
      <c r="E9" s="131">
        <f>'645'!E23</f>
        <v>240</v>
      </c>
      <c r="F9" s="132" t="str">
        <f>'645'!F23</f>
        <v>M645</v>
      </c>
      <c r="G9" s="133">
        <f>'645'!G23</f>
        <v>1.5</v>
      </c>
      <c r="H9" s="134">
        <f>'645'!H23</f>
        <v>0.74</v>
      </c>
      <c r="I9" s="43">
        <f>'645'!I23</f>
        <v>107</v>
      </c>
      <c r="J9" s="43">
        <f>'645'!J23</f>
        <v>74.5</v>
      </c>
      <c r="K9" s="131">
        <f>'645'!K23</f>
        <v>67</v>
      </c>
      <c r="L9" s="55">
        <f>'645'!L23</f>
        <v>199.5</v>
      </c>
      <c r="M9" s="135" t="str">
        <f>'645'!M23</f>
        <v>.18-08</v>
      </c>
      <c r="N9" s="55">
        <f>'645'!N23</f>
        <v>299</v>
      </c>
      <c r="O9" s="135" t="str">
        <f>'645'!O23</f>
        <v>.18-07</v>
      </c>
      <c r="P9" s="55">
        <f>'645'!P23</f>
        <v>300</v>
      </c>
      <c r="Q9" s="135" t="str">
        <f>'645'!Q23</f>
        <v>.18-07</v>
      </c>
      <c r="R9" s="62" t="str">
        <f>'645'!R23</f>
        <v>keh</v>
      </c>
      <c r="S9" s="55">
        <f>'645'!S23</f>
        <v>0</v>
      </c>
      <c r="T9" s="135">
        <f>'645'!T23</f>
        <v>0</v>
      </c>
      <c r="U9" s="62">
        <f>'645'!U23</f>
        <v>0</v>
      </c>
      <c r="V9" s="34"/>
    </row>
    <row r="11" spans="1:25" s="14" customFormat="1" ht="12" customHeight="1">
      <c r="A11" s="120" t="str">
        <f>CZ.V!A92</f>
        <v>Voigtlander</v>
      </c>
      <c r="B11" s="121" t="str">
        <f>CZ.V!B92</f>
        <v xml:space="preserve">75/2.5 Color Heliar SL </v>
      </c>
      <c r="C11" s="122">
        <f>CZ.V!C92</f>
        <v>75</v>
      </c>
      <c r="D11" s="122">
        <f>CZ.V!D92</f>
        <v>2.5</v>
      </c>
      <c r="E11" s="122">
        <f>CZ.V!E92</f>
        <v>120</v>
      </c>
      <c r="F11" s="123" t="str">
        <f>CZ.V!F92</f>
        <v>x</v>
      </c>
      <c r="G11" s="48">
        <f>CZ.V!G92</f>
        <v>0.7</v>
      </c>
      <c r="H11" s="124">
        <f>CZ.V!H92</f>
        <v>0.25</v>
      </c>
      <c r="I11" s="125">
        <f>CZ.V!I92</f>
        <v>40.200000000000003</v>
      </c>
      <c r="J11" s="125">
        <f>CZ.V!J92</f>
        <v>63.5</v>
      </c>
      <c r="K11" s="122">
        <f>CZ.V!K92</f>
        <v>49</v>
      </c>
      <c r="L11" s="77">
        <f>CZ.V!L92</f>
        <v>380.28571428571428</v>
      </c>
      <c r="M11" s="126" t="str">
        <f>CZ.V!M92</f>
        <v>.18-08</v>
      </c>
      <c r="N11" s="77">
        <f>CZ.V!N92</f>
        <v>442</v>
      </c>
      <c r="O11" s="126" t="str">
        <f>CZ.V!O92</f>
        <v>.18-08</v>
      </c>
      <c r="P11" s="77" t="str">
        <f>CZ.V!P92</f>
        <v xml:space="preserve"> </v>
      </c>
      <c r="Q11" s="126" t="str">
        <f>CZ.V!Q92</f>
        <v xml:space="preserve"> </v>
      </c>
      <c r="R11" s="78" t="str">
        <f>CZ.V!R92</f>
        <v xml:space="preserve"> </v>
      </c>
      <c r="S11" s="77" t="str">
        <f>CZ.V!S92</f>
        <v xml:space="preserve"> </v>
      </c>
      <c r="T11" s="126" t="str">
        <f>CZ.V!T92</f>
        <v xml:space="preserve"> </v>
      </c>
      <c r="U11" s="78" t="str">
        <f>CZ.V!U92</f>
        <v xml:space="preserve"> </v>
      </c>
      <c r="V11" s="34"/>
    </row>
    <row r="12" spans="1:25" s="14" customFormat="1" ht="12" customHeight="1">
      <c r="A12" s="127" t="str">
        <f>LM!A75</f>
        <v>Voigtlander</v>
      </c>
      <c r="B12" s="26" t="str">
        <f>LM!B75</f>
        <v>75/1.8 Heliar Classic</v>
      </c>
      <c r="C12" s="10">
        <f>LM!C75</f>
        <v>75</v>
      </c>
      <c r="D12" s="10">
        <f>LM!D75</f>
        <v>1.8</v>
      </c>
      <c r="E12" s="10">
        <f>LM!E75</f>
        <v>120</v>
      </c>
      <c r="F12" s="74" t="str">
        <f>LM!F75</f>
        <v>LM</v>
      </c>
      <c r="G12" s="75">
        <f>LM!G75</f>
        <v>0.9</v>
      </c>
      <c r="H12" s="76">
        <f>LM!H75</f>
        <v>0.42699999999999999</v>
      </c>
      <c r="I12" s="9">
        <f>LM!I75</f>
        <v>73.8</v>
      </c>
      <c r="J12" s="9">
        <f>LM!J75</f>
        <v>57.9</v>
      </c>
      <c r="K12" s="10">
        <f>LM!K75</f>
        <v>52</v>
      </c>
      <c r="L12" s="65">
        <f>LM!L75</f>
        <v>416.84615384615387</v>
      </c>
      <c r="M12" s="25" t="str">
        <f>LM!M75</f>
        <v>.18-08</v>
      </c>
      <c r="N12" s="65">
        <f>LM!N75</f>
        <v>512.53846153846155</v>
      </c>
      <c r="O12" s="25" t="str">
        <f>LM!O75</f>
        <v>.18-08</v>
      </c>
      <c r="P12" s="65">
        <f>LM!P75</f>
        <v>528.20000000000005</v>
      </c>
      <c r="Q12" s="25" t="str">
        <f>LM!Q75</f>
        <v>.18-07</v>
      </c>
      <c r="R12" s="50" t="str">
        <f>LM!R75</f>
        <v>d'town</v>
      </c>
      <c r="S12" s="65">
        <f>LM!S75</f>
        <v>560</v>
      </c>
      <c r="T12" s="25" t="str">
        <f>LM!T75</f>
        <v>.17-05</v>
      </c>
      <c r="U12" s="50" t="str">
        <f>LM!U75</f>
        <v>ado</v>
      </c>
      <c r="V12" s="34"/>
    </row>
    <row r="13" spans="1:25" s="14" customFormat="1" ht="12" customHeight="1">
      <c r="A13" s="128" t="str">
        <f>LM!A76</f>
        <v>Voigtlander</v>
      </c>
      <c r="B13" s="57" t="str">
        <f>LM!B76</f>
        <v xml:space="preserve">75/2.5 Color Heliar </v>
      </c>
      <c r="C13" s="71">
        <f>LM!C76</f>
        <v>75</v>
      </c>
      <c r="D13" s="71">
        <f>LM!D76</f>
        <v>2.5</v>
      </c>
      <c r="E13" s="71">
        <f>LM!E76</f>
        <v>120</v>
      </c>
      <c r="F13" s="72" t="str">
        <f>LM!F76</f>
        <v>LTM</v>
      </c>
      <c r="G13" s="59">
        <f>LM!G76</f>
        <v>1</v>
      </c>
      <c r="H13" s="40">
        <f>LM!H76</f>
        <v>0.26</v>
      </c>
      <c r="I13" s="36">
        <f>LM!I76</f>
        <v>51</v>
      </c>
      <c r="J13" s="36">
        <f>LM!J76</f>
        <v>55</v>
      </c>
      <c r="K13" s="71">
        <f>LM!K76</f>
        <v>43</v>
      </c>
      <c r="L13" s="61">
        <f>LM!L76</f>
        <v>268.2</v>
      </c>
      <c r="M13" s="68" t="str">
        <f>LM!M76</f>
        <v>.18-08</v>
      </c>
      <c r="N13" s="61">
        <f>LM!N76</f>
        <v>408.11111111111109</v>
      </c>
      <c r="O13" s="68" t="str">
        <f>LM!O76</f>
        <v>.18-07</v>
      </c>
      <c r="P13" s="61">
        <f>LM!P76</f>
        <v>468</v>
      </c>
      <c r="Q13" s="68" t="str">
        <f>LM!Q76</f>
        <v>.17-05</v>
      </c>
      <c r="R13" s="52" t="str">
        <f>LM!R76</f>
        <v>keh</v>
      </c>
      <c r="S13" s="61">
        <f>LM!S76</f>
        <v>690</v>
      </c>
      <c r="T13" s="68" t="str">
        <f>LM!T76</f>
        <v>.16-09</v>
      </c>
      <c r="U13" s="52" t="str">
        <f>LM!U76</f>
        <v>c'quest</v>
      </c>
      <c r="V13" s="34"/>
    </row>
    <row r="15" spans="1:25" s="14" customFormat="1" ht="12" customHeight="1">
      <c r="A15" s="120" t="str">
        <f>LM!A36</f>
        <v>Canon RF</v>
      </c>
      <c r="B15" s="121" t="str">
        <f>LM!B36</f>
        <v>S 85/1.8 bk</v>
      </c>
      <c r="C15" s="122">
        <f>LM!C36</f>
        <v>85</v>
      </c>
      <c r="D15" s="122">
        <f>LM!D36</f>
        <v>1.8</v>
      </c>
      <c r="E15" s="122">
        <f>LM!E36</f>
        <v>136</v>
      </c>
      <c r="F15" s="123" t="str">
        <f>LM!F36</f>
        <v>LTM</v>
      </c>
      <c r="G15" s="48">
        <f>LM!G36</f>
        <v>1</v>
      </c>
      <c r="H15" s="124">
        <f>LM!H36</f>
        <v>0.47</v>
      </c>
      <c r="I15" s="125">
        <f>LM!I36</f>
        <v>68.2</v>
      </c>
      <c r="J15" s="125">
        <f>LM!J36</f>
        <v>63.5</v>
      </c>
      <c r="K15" s="122">
        <f>LM!K36</f>
        <v>58</v>
      </c>
      <c r="L15" s="77">
        <f>LM!L36</f>
        <v>781.66666666666663</v>
      </c>
      <c r="M15" s="126" t="str">
        <f>LM!M36</f>
        <v>.17-05</v>
      </c>
      <c r="N15" s="77">
        <f>LM!N36</f>
        <v>1046.75</v>
      </c>
      <c r="O15" s="126" t="str">
        <f>LM!O36</f>
        <v>.18-07</v>
      </c>
      <c r="P15" s="77">
        <f>LM!P36</f>
        <v>750</v>
      </c>
      <c r="Q15" s="126" t="str">
        <f>LM!Q36</f>
        <v>.15-06</v>
      </c>
      <c r="R15" s="78" t="str">
        <f>LM!R36</f>
        <v>kevin</v>
      </c>
      <c r="S15" s="77">
        <f>LM!S36</f>
        <v>1500</v>
      </c>
      <c r="T15" s="126" t="str">
        <f>LM!T36</f>
        <v>.16-08</v>
      </c>
      <c r="U15" s="78" t="str">
        <f>LM!U36</f>
        <v>kevin</v>
      </c>
      <c r="V15" s="34"/>
    </row>
    <row r="16" spans="1:25" s="14" customFormat="1" ht="12" customHeight="1">
      <c r="A16" s="127" t="str">
        <f>LNOP!A148</f>
        <v>Konica</v>
      </c>
      <c r="B16" s="26" t="str">
        <f>LNOP!B148</f>
        <v>85/1.8 Hexanon AR AE lock</v>
      </c>
      <c r="C16" s="10">
        <f>LNOP!C148</f>
        <v>85</v>
      </c>
      <c r="D16" s="10">
        <f>LNOP!D148</f>
        <v>1.8</v>
      </c>
      <c r="E16" s="10">
        <f>LNOP!E148</f>
        <v>136</v>
      </c>
      <c r="F16" s="74" t="str">
        <f>LNOP!F148</f>
        <v>KAR</v>
      </c>
      <c r="G16" s="75">
        <f>LNOP!G148</f>
        <v>1</v>
      </c>
      <c r="H16" s="76">
        <f>LNOP!H148</f>
        <v>0.4</v>
      </c>
      <c r="I16" s="9">
        <f>LNOP!I148</f>
        <v>67</v>
      </c>
      <c r="J16" s="9">
        <f>LNOP!J148</f>
        <v>69</v>
      </c>
      <c r="K16" s="10">
        <f>LNOP!K148</f>
        <v>55</v>
      </c>
      <c r="L16" s="65">
        <f>LNOP!L148</f>
        <v>155</v>
      </c>
      <c r="M16" s="25" t="str">
        <f>LNOP!M148</f>
        <v>.18-07</v>
      </c>
      <c r="N16" s="65">
        <f>LNOP!N148</f>
        <v>299</v>
      </c>
      <c r="O16" s="25" t="str">
        <f>LNOP!O148</f>
        <v>.18-07</v>
      </c>
      <c r="P16" s="65" t="str">
        <f>LNOP!P148</f>
        <v xml:space="preserve"> </v>
      </c>
      <c r="Q16" s="25" t="str">
        <f>LNOP!Q148</f>
        <v xml:space="preserve"> </v>
      </c>
      <c r="R16" s="50" t="str">
        <f>LNOP!R148</f>
        <v xml:space="preserve"> </v>
      </c>
      <c r="S16" s="65" t="str">
        <f>LNOP!S148</f>
        <v xml:space="preserve"> </v>
      </c>
      <c r="T16" s="25" t="str">
        <f>LNOP!T148</f>
        <v xml:space="preserve"> </v>
      </c>
      <c r="U16" s="50" t="str">
        <f>LNOP!U148</f>
        <v xml:space="preserve"> </v>
      </c>
      <c r="V16" s="34"/>
    </row>
    <row r="17" spans="1:22" s="14" customFormat="1" ht="12" customHeight="1">
      <c r="A17" s="128" t="str">
        <f>LNOP!A120</f>
        <v>Pentax</v>
      </c>
      <c r="B17" s="57" t="str">
        <f>LNOP!B120</f>
        <v>SMC Pentax 85/1.8</v>
      </c>
      <c r="C17" s="71">
        <f>LNOP!C120</f>
        <v>85</v>
      </c>
      <c r="D17" s="71">
        <f>LNOP!D120</f>
        <v>1.8</v>
      </c>
      <c r="E17" s="71">
        <f>LNOP!E120</f>
        <v>136</v>
      </c>
      <c r="F17" s="72" t="str">
        <f>LNOP!F120</f>
        <v>K</v>
      </c>
      <c r="G17" s="59">
        <f>LNOP!G120</f>
        <v>0.85</v>
      </c>
      <c r="H17" s="40">
        <f>LNOP!H120</f>
        <v>0.33100000000000002</v>
      </c>
      <c r="I17" s="36">
        <f>LNOP!I120</f>
        <v>56</v>
      </c>
      <c r="J17" s="36">
        <f>LNOP!J120</f>
        <v>64</v>
      </c>
      <c r="K17" s="71">
        <f>LNOP!K120</f>
        <v>52</v>
      </c>
      <c r="L17" s="61">
        <f>LNOP!L120</f>
        <v>353.72727272727275</v>
      </c>
      <c r="M17" s="68" t="str">
        <f>LNOP!M120</f>
        <v>.16-05</v>
      </c>
      <c r="N17" s="61">
        <f>LNOP!N120</f>
        <v>450.07692307692309</v>
      </c>
      <c r="O17" s="68" t="str">
        <f>LNOP!O120</f>
        <v>.16-08</v>
      </c>
      <c r="P17" s="61">
        <f>LNOP!P120</f>
        <v>224.2</v>
      </c>
      <c r="Q17" s="68" t="str">
        <f>LNOP!Q120</f>
        <v>.16-05</v>
      </c>
      <c r="R17" s="52" t="str">
        <f>LNOP!R120</f>
        <v>v.v</v>
      </c>
      <c r="S17" s="61">
        <f>LNOP!S120</f>
        <v>850</v>
      </c>
      <c r="T17" s="68" t="str">
        <f>LNOP!T120</f>
        <v>.17-07</v>
      </c>
      <c r="U17" s="52" t="str">
        <f>LNOP!U120</f>
        <v>kevin</v>
      </c>
      <c r="V17" s="34"/>
    </row>
    <row r="19" spans="1:22" s="14" customFormat="1" ht="12" customHeight="1">
      <c r="A19" s="120" t="str">
        <f>EFp!A48</f>
        <v>Canon</v>
      </c>
      <c r="B19" s="121" t="str">
        <f>EFp!B48</f>
        <v xml:space="preserve">EF 100/2.8 L IS Macro USM </v>
      </c>
      <c r="C19" s="122">
        <f>EFp!C48</f>
        <v>100</v>
      </c>
      <c r="D19" s="122">
        <f>EFp!D48</f>
        <v>2.8</v>
      </c>
      <c r="E19" s="122">
        <f>EFp!E48</f>
        <v>160</v>
      </c>
      <c r="F19" s="123" t="str">
        <f>EFp!F48</f>
        <v>EF</v>
      </c>
      <c r="G19" s="48">
        <f>EFp!G48</f>
        <v>0.3</v>
      </c>
      <c r="H19" s="124">
        <f>EFp!H48</f>
        <v>0.625</v>
      </c>
      <c r="I19" s="125">
        <f>EFp!I48</f>
        <v>123</v>
      </c>
      <c r="J19" s="125">
        <f>EFp!J48</f>
        <v>77.7</v>
      </c>
      <c r="K19" s="122">
        <f>EFp!K48</f>
        <v>67</v>
      </c>
      <c r="L19" s="77">
        <f>EFp!L48</f>
        <v>600</v>
      </c>
      <c r="M19" s="126" t="str">
        <f>EFp!M48</f>
        <v>.18-08</v>
      </c>
      <c r="N19" s="77">
        <f>EFp!N48</f>
        <v>691.78571428571433</v>
      </c>
      <c r="O19" s="126" t="str">
        <f>EFp!O48</f>
        <v>.18-07</v>
      </c>
      <c r="P19" s="77">
        <f>EFp!P48</f>
        <v>600</v>
      </c>
      <c r="Q19" s="126" t="str">
        <f>EFp!Q48</f>
        <v>.18-07</v>
      </c>
      <c r="R19" s="78" t="str">
        <f>EFp!R48</f>
        <v>prec'n</v>
      </c>
      <c r="S19" s="77">
        <f>EFp!S48</f>
        <v>596.6</v>
      </c>
      <c r="T19" s="126" t="str">
        <f>EFp!T48</f>
        <v xml:space="preserve"> .18-04</v>
      </c>
      <c r="U19" s="78" t="str">
        <f>EFp!U48</f>
        <v>camtec</v>
      </c>
      <c r="V19" s="34"/>
    </row>
    <row r="20" spans="1:22" s="14" customFormat="1" ht="12" customHeight="1">
      <c r="A20" s="127" t="str">
        <f>LM!A39</f>
        <v>Canon RF</v>
      </c>
      <c r="B20" s="26" t="str">
        <f>LM!B39</f>
        <v>S 100/2 bk</v>
      </c>
      <c r="C20" s="10">
        <f>LM!C39</f>
        <v>100</v>
      </c>
      <c r="D20" s="10">
        <f>LM!D39</f>
        <v>2</v>
      </c>
      <c r="E20" s="10">
        <f>LM!E39</f>
        <v>160</v>
      </c>
      <c r="F20" s="74" t="str">
        <f>LM!F39</f>
        <v>LTM</v>
      </c>
      <c r="G20" s="75">
        <f>LM!G39</f>
        <v>1</v>
      </c>
      <c r="H20" s="76">
        <f>LM!H39</f>
        <v>0.51500000000000001</v>
      </c>
      <c r="I20" s="9">
        <f>LM!I39</f>
        <v>91</v>
      </c>
      <c r="J20" s="9">
        <f>LM!J39</f>
        <v>63</v>
      </c>
      <c r="K20" s="10">
        <f>LM!K39</f>
        <v>58</v>
      </c>
      <c r="L20" s="65">
        <f>LM!L39</f>
        <v>380.5</v>
      </c>
      <c r="M20" s="25" t="str">
        <f>LM!M39</f>
        <v>.18-07</v>
      </c>
      <c r="N20" s="65">
        <f>LM!N39</f>
        <v>573.75</v>
      </c>
      <c r="O20" s="25" t="str">
        <f>LM!O39</f>
        <v>.18-07</v>
      </c>
      <c r="P20" s="65">
        <f>LM!P39</f>
        <v>775</v>
      </c>
      <c r="Q20" s="25" t="str">
        <f>LM!Q39</f>
        <v>.16-08</v>
      </c>
      <c r="R20" s="50" t="str">
        <f>LM!R39</f>
        <v>kevin</v>
      </c>
      <c r="S20" s="65">
        <f>LM!S39</f>
        <v>1100</v>
      </c>
      <c r="T20" s="25" t="str">
        <f>LM!T39</f>
        <v>.16-08</v>
      </c>
      <c r="U20" s="50" t="str">
        <f>LM!U39</f>
        <v>kevin</v>
      </c>
      <c r="V20" s="34"/>
    </row>
    <row r="21" spans="1:22" s="14" customFormat="1" ht="12" customHeight="1">
      <c r="A21" s="128" t="str">
        <f>LNOP!A149</f>
        <v>Konica</v>
      </c>
      <c r="B21" s="57" t="str">
        <f>LNOP!B149</f>
        <v xml:space="preserve">100/2.8  Hexanon AR </v>
      </c>
      <c r="C21" s="71">
        <f>LNOP!C149</f>
        <v>100</v>
      </c>
      <c r="D21" s="71" t="str">
        <f>LNOP!D149</f>
        <v>2.8</v>
      </c>
      <c r="E21" s="71">
        <f>LNOP!E149</f>
        <v>160</v>
      </c>
      <c r="F21" s="72" t="str">
        <f>LNOP!F149</f>
        <v>KAR</v>
      </c>
      <c r="G21" s="59">
        <f>LNOP!G149</f>
        <v>1</v>
      </c>
      <c r="H21" s="40">
        <f>LNOP!H149</f>
        <v>0.28999999999999998</v>
      </c>
      <c r="I21" s="36">
        <f>LNOP!I149</f>
        <v>62</v>
      </c>
      <c r="J21" s="36">
        <f>LNOP!J149</f>
        <v>62</v>
      </c>
      <c r="K21" s="71">
        <f>LNOP!K149</f>
        <v>55</v>
      </c>
      <c r="L21" s="61">
        <f>LNOP!L149</f>
        <v>129</v>
      </c>
      <c r="M21" s="68" t="str">
        <f>LNOP!M149</f>
        <v>.18-07</v>
      </c>
      <c r="N21" s="61">
        <f>LNOP!N149</f>
        <v>0</v>
      </c>
      <c r="O21" s="68" t="str">
        <f>LNOP!O149</f>
        <v xml:space="preserve"> </v>
      </c>
      <c r="P21" s="61" t="str">
        <f>LNOP!P149</f>
        <v xml:space="preserve"> </v>
      </c>
      <c r="Q21" s="68" t="str">
        <f>LNOP!Q149</f>
        <v xml:space="preserve"> </v>
      </c>
      <c r="R21" s="52" t="str">
        <f>LNOP!R149</f>
        <v xml:space="preserve"> </v>
      </c>
      <c r="S21" s="61" t="str">
        <f>LNOP!S149</f>
        <v xml:space="preserve"> </v>
      </c>
      <c r="T21" s="68" t="str">
        <f>LNOP!T149</f>
        <v xml:space="preserve"> </v>
      </c>
      <c r="U21" s="52" t="str">
        <f>LNOP!U149</f>
        <v xml:space="preserve"> </v>
      </c>
      <c r="V21" s="34"/>
    </row>
    <row r="22" spans="1:22" s="14" customFormat="1" ht="12" customHeight="1">
      <c r="A22" s="120" t="str">
        <f>CZ.V!A59</f>
        <v>Carl Zeiss</v>
      </c>
      <c r="B22" s="121" t="str">
        <f>CZ.V!B59</f>
        <v>Sonnar T* 100/3.5 CY</v>
      </c>
      <c r="C22" s="122">
        <f>CZ.V!C59</f>
        <v>100</v>
      </c>
      <c r="D22" s="122">
        <f>CZ.V!D59</f>
        <v>3.5</v>
      </c>
      <c r="E22" s="122">
        <f>CZ.V!E59</f>
        <v>160</v>
      </c>
      <c r="F22" s="123" t="str">
        <f>CZ.V!F59</f>
        <v>CY</v>
      </c>
      <c r="G22" s="48">
        <f>CZ.V!G59</f>
        <v>1</v>
      </c>
      <c r="H22" s="124">
        <f>CZ.V!H59</f>
        <v>0.28599999999999998</v>
      </c>
      <c r="I22" s="125">
        <f>CZ.V!I59</f>
        <v>61</v>
      </c>
      <c r="J22" s="125">
        <f>CZ.V!J59</f>
        <v>62.5</v>
      </c>
      <c r="K22" s="122">
        <f>CZ.V!K59</f>
        <v>55</v>
      </c>
      <c r="L22" s="77">
        <f>CZ.V!L59</f>
        <v>263.81818181818181</v>
      </c>
      <c r="M22" s="126" t="str">
        <f>CZ.V!M59</f>
        <v>.18-07</v>
      </c>
      <c r="N22" s="77">
        <f>CZ.V!N59</f>
        <v>417.33333333333331</v>
      </c>
      <c r="O22" s="126" t="str">
        <f>CZ.V!O59</f>
        <v>.18-06</v>
      </c>
      <c r="P22" s="77">
        <f>CZ.V!P59</f>
        <v>425</v>
      </c>
      <c r="Q22" s="126" t="str">
        <f>CZ.V!Q59</f>
        <v>.16-08</v>
      </c>
      <c r="R22" s="78" t="str">
        <f>CZ.V!R59</f>
        <v>kevin</v>
      </c>
      <c r="S22" s="77">
        <f>CZ.V!S59</f>
        <v>525</v>
      </c>
      <c r="T22" s="126" t="str">
        <f>CZ.V!T59</f>
        <v>.16-08</v>
      </c>
      <c r="U22" s="78" t="str">
        <f>CZ.V!U59</f>
        <v>kevin</v>
      </c>
      <c r="V22" s="34"/>
    </row>
    <row r="23" spans="1:22" s="14" customFormat="1" ht="12" customHeight="1">
      <c r="A23" s="128" t="str">
        <f>LM!A40</f>
        <v>Canon RF</v>
      </c>
      <c r="B23" s="57" t="str">
        <f>LM!B40</f>
        <v>S 100/3.5 III bk</v>
      </c>
      <c r="C23" s="71">
        <f>LM!C40</f>
        <v>100</v>
      </c>
      <c r="D23" s="71">
        <f>LM!D40</f>
        <v>3.5</v>
      </c>
      <c r="E23" s="71">
        <f>LM!E40</f>
        <v>160</v>
      </c>
      <c r="F23" s="72" t="str">
        <f>LM!F40</f>
        <v>LTM</v>
      </c>
      <c r="G23" s="59">
        <f>LM!G40</f>
        <v>1</v>
      </c>
      <c r="H23" s="40">
        <f>LM!H40</f>
        <v>0.22</v>
      </c>
      <c r="I23" s="36">
        <f>LM!I40</f>
        <v>73</v>
      </c>
      <c r="J23" s="36">
        <f>LM!J40</f>
        <v>47</v>
      </c>
      <c r="K23" s="71">
        <f>LM!K40</f>
        <v>40</v>
      </c>
      <c r="L23" s="61">
        <f>LM!L40</f>
        <v>120</v>
      </c>
      <c r="M23" s="68" t="str">
        <f>LM!M40</f>
        <v>.18-07</v>
      </c>
      <c r="N23" s="61">
        <f>LM!N40</f>
        <v>261.66666666666669</v>
      </c>
      <c r="O23" s="68" t="str">
        <f>LM!O40</f>
        <v>.18-07</v>
      </c>
      <c r="P23" s="61" t="str">
        <f>LM!P40</f>
        <v xml:space="preserve"> </v>
      </c>
      <c r="Q23" s="68" t="str">
        <f>LM!Q40</f>
        <v xml:space="preserve"> </v>
      </c>
      <c r="R23" s="52" t="str">
        <f>LM!R40</f>
        <v xml:space="preserve"> </v>
      </c>
      <c r="S23" s="61" t="str">
        <f>LM!S40</f>
        <v xml:space="preserve"> </v>
      </c>
      <c r="T23" s="68" t="str">
        <f>LM!T40</f>
        <v xml:space="preserve"> </v>
      </c>
      <c r="U23" s="52" t="str">
        <f>LM!U40</f>
        <v xml:space="preserve"> </v>
      </c>
      <c r="V23" s="34"/>
    </row>
    <row r="25" spans="1:22" s="14" customFormat="1" ht="12" customHeight="1">
      <c r="A25" s="120" t="str">
        <f>LM!A41</f>
        <v>Canon RF</v>
      </c>
      <c r="B25" s="121" t="str">
        <f>LM!B41</f>
        <v>S 135/3.5 III bk</v>
      </c>
      <c r="C25" s="122">
        <f>LM!C41</f>
        <v>135</v>
      </c>
      <c r="D25" s="122">
        <f>LM!D41</f>
        <v>3.5</v>
      </c>
      <c r="E25" s="122">
        <f>LM!E41</f>
        <v>216</v>
      </c>
      <c r="F25" s="123" t="str">
        <f>LM!F41</f>
        <v>LTM</v>
      </c>
      <c r="G25" s="48">
        <f>LM!G41</f>
        <v>1.5</v>
      </c>
      <c r="H25" s="124">
        <f>LM!H41</f>
        <v>0.42399999999999999</v>
      </c>
      <c r="I25" s="125">
        <f>LM!I41</f>
        <v>97</v>
      </c>
      <c r="J25" s="125">
        <f>LM!J41</f>
        <v>54</v>
      </c>
      <c r="K25" s="122">
        <f>LM!K41</f>
        <v>48</v>
      </c>
      <c r="L25" s="77">
        <f>LM!L41</f>
        <v>95.909090909090907</v>
      </c>
      <c r="M25" s="126" t="str">
        <f>LM!M41</f>
        <v>.18-07</v>
      </c>
      <c r="N25" s="77">
        <f>LM!N41</f>
        <v>174.5</v>
      </c>
      <c r="O25" s="126" t="str">
        <f>LM!O41</f>
        <v>.18-07</v>
      </c>
      <c r="P25" s="77">
        <f>LM!P41</f>
        <v>145</v>
      </c>
      <c r="Q25" s="126" t="str">
        <f>LM!Q41</f>
        <v>.18-07</v>
      </c>
      <c r="R25" s="78" t="str">
        <f>LM!R41</f>
        <v>igor</v>
      </c>
      <c r="S25" s="77" t="str">
        <f>LM!S41</f>
        <v xml:space="preserve"> </v>
      </c>
      <c r="T25" s="126" t="str">
        <f>LM!T41</f>
        <v xml:space="preserve"> </v>
      </c>
      <c r="U25" s="78" t="str">
        <f>LM!U41</f>
        <v xml:space="preserve"> </v>
      </c>
      <c r="V25" s="34"/>
    </row>
    <row r="26" spans="1:22" s="14" customFormat="1" ht="12" customHeight="1">
      <c r="A26" s="128" t="str">
        <f>LNOP!A125</f>
        <v>Pentax</v>
      </c>
      <c r="B26" s="57" t="str">
        <f>LNOP!B125</f>
        <v>SMC Pentax-M 135/3.5</v>
      </c>
      <c r="C26" s="71">
        <f>LNOP!C125</f>
        <v>135</v>
      </c>
      <c r="D26" s="71">
        <f>LNOP!D125</f>
        <v>3.5</v>
      </c>
      <c r="E26" s="71">
        <f>LNOP!E125</f>
        <v>216</v>
      </c>
      <c r="F26" s="72" t="str">
        <f>LNOP!F125</f>
        <v>K</v>
      </c>
      <c r="G26" s="59">
        <f>LNOP!G125</f>
        <v>1.5</v>
      </c>
      <c r="H26" s="40">
        <f>LNOP!H125</f>
        <v>0.27</v>
      </c>
      <c r="I26" s="36">
        <f>LNOP!I125</f>
        <v>66</v>
      </c>
      <c r="J26" s="36">
        <f>LNOP!J125</f>
        <v>63</v>
      </c>
      <c r="K26" s="71">
        <f>LNOP!K125</f>
        <v>49</v>
      </c>
      <c r="L26" s="61">
        <f>LNOP!L125</f>
        <v>51.333333333333336</v>
      </c>
      <c r="M26" s="68" t="str">
        <f>LNOP!M125</f>
        <v>.12-02</v>
      </c>
      <c r="N26" s="61">
        <f>LNOP!N125</f>
        <v>122</v>
      </c>
      <c r="O26" s="68" t="str">
        <f>LNOP!O125</f>
        <v>.16-08</v>
      </c>
      <c r="P26" s="61">
        <f>LNOP!P125</f>
        <v>70</v>
      </c>
      <c r="Q26" s="68" t="str">
        <f>LNOP!Q125</f>
        <v>.17-07</v>
      </c>
      <c r="R26" s="52" t="str">
        <f>LNOP!R125</f>
        <v>b&amp;h</v>
      </c>
      <c r="S26" s="61" t="str">
        <f>LNOP!S125</f>
        <v xml:space="preserve"> </v>
      </c>
      <c r="T26" s="68" t="str">
        <f>LNOP!T125</f>
        <v xml:space="preserve"> </v>
      </c>
      <c r="U26" s="52" t="str">
        <f>LNOP!U125</f>
        <v xml:space="preserve"> </v>
      </c>
      <c r="V26" s="34"/>
    </row>
    <row r="28" spans="1:22" s="14" customFormat="1" ht="12" customHeight="1">
      <c r="A28" s="120" t="str">
        <f>LNOP!A124</f>
        <v>Pentax</v>
      </c>
      <c r="B28" s="121" t="str">
        <f>LNOP!B124</f>
        <v>SMC Pentax 135/2.5</v>
      </c>
      <c r="C28" s="122">
        <f>LNOP!C124</f>
        <v>135</v>
      </c>
      <c r="D28" s="122">
        <f>LNOP!D124</f>
        <v>2.5</v>
      </c>
      <c r="E28" s="122">
        <f>LNOP!E124</f>
        <v>216</v>
      </c>
      <c r="F28" s="123" t="str">
        <f>LNOP!F124</f>
        <v>K</v>
      </c>
      <c r="G28" s="48">
        <f>LNOP!G124</f>
        <v>1.5</v>
      </c>
      <c r="H28" s="124">
        <f>LNOP!H124</f>
        <v>0.5</v>
      </c>
      <c r="I28" s="125">
        <f>LNOP!I124</f>
        <v>86</v>
      </c>
      <c r="J28" s="125">
        <f>LNOP!J124</f>
        <v>68</v>
      </c>
      <c r="K28" s="122">
        <f>LNOP!K124</f>
        <v>58</v>
      </c>
      <c r="L28" s="77">
        <f>LNOP!L124</f>
        <v>157.07692307692307</v>
      </c>
      <c r="M28" s="126" t="str">
        <f>LNOP!M124</f>
        <v>.18-07</v>
      </c>
      <c r="N28" s="77">
        <f>LNOP!N124</f>
        <v>263</v>
      </c>
      <c r="O28" s="126" t="str">
        <f>LNOP!O124</f>
        <v>.15-12</v>
      </c>
      <c r="P28" s="77">
        <f>LNOP!P124</f>
        <v>190</v>
      </c>
      <c r="Q28" s="126" t="str">
        <f>LNOP!Q124</f>
        <v>.17-02</v>
      </c>
      <c r="R28" s="78" t="str">
        <f>LNOP!R124</f>
        <v>d'town</v>
      </c>
      <c r="S28" s="77">
        <f>LNOP!S124</f>
        <v>550</v>
      </c>
      <c r="T28" s="126" t="str">
        <f>LNOP!T124</f>
        <v>.18-01</v>
      </c>
      <c r="U28" s="78" t="str">
        <f>LNOP!U124</f>
        <v>kevin</v>
      </c>
      <c r="V28" s="34"/>
    </row>
    <row r="29" spans="1:22" s="14" customFormat="1" ht="12" customHeight="1">
      <c r="A29" s="127" t="str">
        <f>'M42'!A58</f>
        <v>Fuji Photo</v>
      </c>
      <c r="B29" s="26" t="str">
        <f>'M42'!B58</f>
        <v>EBC Fujinon-T 135/2.5</v>
      </c>
      <c r="C29" s="10">
        <f>'M42'!C58</f>
        <v>135</v>
      </c>
      <c r="D29" s="10">
        <f>'M42'!D58</f>
        <v>2.5</v>
      </c>
      <c r="E29" s="10">
        <f>'M42'!E58</f>
        <v>216</v>
      </c>
      <c r="F29" s="74" t="str">
        <f>'M42'!F58</f>
        <v>M42</v>
      </c>
      <c r="G29" s="75">
        <f>'M42'!G58</f>
        <v>1.5</v>
      </c>
      <c r="H29" s="76">
        <f>'M42'!H58</f>
        <v>0.432</v>
      </c>
      <c r="I29" s="9">
        <f>'M42'!I58</f>
        <v>80</v>
      </c>
      <c r="J29" s="9">
        <f>'M42'!J58</f>
        <v>66</v>
      </c>
      <c r="K29" s="10">
        <f>'M42'!K58</f>
        <v>58</v>
      </c>
      <c r="L29" s="65">
        <f>'M42'!L58</f>
        <v>168.8</v>
      </c>
      <c r="M29" s="25" t="str">
        <f>'M42'!M58</f>
        <v>.18-04</v>
      </c>
      <c r="N29" s="65">
        <f>'M42'!N58</f>
        <v>276</v>
      </c>
      <c r="O29" s="25" t="str">
        <f>'M42'!O58</f>
        <v>.16-05</v>
      </c>
      <c r="P29" s="65">
        <f>'M42'!P58</f>
        <v>180</v>
      </c>
      <c r="Q29" s="25" t="str">
        <f>'M42'!Q58</f>
        <v>.16-05</v>
      </c>
      <c r="R29" s="50" t="str">
        <f>'M42'!R58</f>
        <v>kenmore</v>
      </c>
      <c r="S29" s="65" t="str">
        <f>'M42'!S58</f>
        <v xml:space="preserve"> </v>
      </c>
      <c r="T29" s="25" t="str">
        <f>'M42'!T58</f>
        <v xml:space="preserve"> </v>
      </c>
      <c r="U29" s="50" t="str">
        <f>'M42'!U58</f>
        <v xml:space="preserve"> </v>
      </c>
      <c r="V29" s="34"/>
    </row>
    <row r="30" spans="1:22" s="14" customFormat="1" ht="12" customHeight="1">
      <c r="A30" s="128" t="str">
        <f>LNOP!A150</f>
        <v>Konica</v>
      </c>
      <c r="B30" s="57" t="str">
        <f>LNOP!B150</f>
        <v xml:space="preserve">135/2  Hexanon AR </v>
      </c>
      <c r="C30" s="71">
        <f>LNOP!C150</f>
        <v>135</v>
      </c>
      <c r="D30" s="71">
        <f>LNOP!D150</f>
        <v>2</v>
      </c>
      <c r="E30" s="71">
        <f>LNOP!E150</f>
        <v>216</v>
      </c>
      <c r="F30" s="72" t="str">
        <f>LNOP!F150</f>
        <v>KAR</v>
      </c>
      <c r="G30" s="59">
        <f>LNOP!G150</f>
        <v>1.2</v>
      </c>
      <c r="H30" s="40">
        <f>LNOP!H150</f>
        <v>0.65</v>
      </c>
      <c r="I30" s="36">
        <f>LNOP!I150</f>
        <v>96</v>
      </c>
      <c r="J30" s="36">
        <f>LNOP!J150</f>
        <v>69</v>
      </c>
      <c r="K30" s="71">
        <f>LNOP!K150</f>
        <v>62</v>
      </c>
      <c r="L30" s="61">
        <f>LNOP!L150</f>
        <v>100</v>
      </c>
      <c r="M30" s="68" t="str">
        <f>LNOP!M150</f>
        <v>.18-06</v>
      </c>
      <c r="N30" s="61">
        <f>LNOP!N150</f>
        <v>0</v>
      </c>
      <c r="O30" s="68" t="str">
        <f>LNOP!O150</f>
        <v xml:space="preserve"> </v>
      </c>
      <c r="P30" s="61" t="str">
        <f>LNOP!P150</f>
        <v xml:space="preserve"> </v>
      </c>
      <c r="Q30" s="68" t="str">
        <f>LNOP!Q150</f>
        <v xml:space="preserve"> </v>
      </c>
      <c r="R30" s="52" t="str">
        <f>LNOP!R150</f>
        <v xml:space="preserve"> </v>
      </c>
      <c r="S30" s="61" t="str">
        <f>LNOP!S150</f>
        <v xml:space="preserve"> </v>
      </c>
      <c r="T30" s="68" t="str">
        <f>LNOP!T150</f>
        <v xml:space="preserve"> </v>
      </c>
      <c r="U30" s="52" t="str">
        <f>LNOP!U150</f>
        <v xml:space="preserve"> </v>
      </c>
      <c r="V30" s="34"/>
    </row>
    <row r="32" spans="1:22" s="14" customFormat="1" ht="12" customHeight="1">
      <c r="A32" s="120" t="str">
        <f>LNOP!A146</f>
        <v>Konica</v>
      </c>
      <c r="B32" s="121" t="str">
        <f>LNOP!B146</f>
        <v>57/1.2 Hexanon AR yg</v>
      </c>
      <c r="C32" s="122">
        <f>LNOP!C146</f>
        <v>57</v>
      </c>
      <c r="D32" s="122">
        <f>LNOP!D146</f>
        <v>1.2</v>
      </c>
      <c r="E32" s="122">
        <f>LNOP!E146</f>
        <v>91.2</v>
      </c>
      <c r="F32" s="123" t="str">
        <f>LNOP!F146</f>
        <v>KAR</v>
      </c>
      <c r="G32" s="48">
        <f>LNOP!G146</f>
        <v>0.45</v>
      </c>
      <c r="H32" s="124">
        <f>LNOP!H146</f>
        <v>0.46</v>
      </c>
      <c r="I32" s="125">
        <f>LNOP!I146</f>
        <v>50</v>
      </c>
      <c r="J32" s="125">
        <f>LNOP!J146</f>
        <v>69</v>
      </c>
      <c r="K32" s="122">
        <f>LNOP!K146</f>
        <v>62</v>
      </c>
      <c r="L32" s="77">
        <f>LNOP!L146</f>
        <v>294</v>
      </c>
      <c r="M32" s="126" t="str">
        <f>LNOP!M146</f>
        <v>.18-08</v>
      </c>
      <c r="N32" s="77">
        <f>LNOP!N146</f>
        <v>423.25</v>
      </c>
      <c r="O32" s="126" t="str">
        <f>LNOP!O146</f>
        <v>.18-08</v>
      </c>
      <c r="P32" s="77" t="str">
        <f>LNOP!P146</f>
        <v xml:space="preserve"> </v>
      </c>
      <c r="Q32" s="126" t="str">
        <f>LNOP!Q146</f>
        <v xml:space="preserve"> </v>
      </c>
      <c r="R32" s="78" t="str">
        <f>LNOP!R146</f>
        <v xml:space="preserve"> </v>
      </c>
      <c r="S32" s="77" t="str">
        <f>LNOP!S146</f>
        <v xml:space="preserve"> </v>
      </c>
      <c r="T32" s="126" t="str">
        <f>LNOP!T146</f>
        <v xml:space="preserve"> </v>
      </c>
      <c r="U32" s="78" t="str">
        <f>LNOP!U146</f>
        <v xml:space="preserve"> </v>
      </c>
      <c r="V32" s="34"/>
    </row>
    <row r="33" spans="1:22" s="14" customFormat="1" ht="12" customHeight="1">
      <c r="A33" s="128" t="str">
        <f>LNOP!A152</f>
        <v>Minolta</v>
      </c>
      <c r="B33" s="57" t="str">
        <f>LNOP!B152</f>
        <v>MC Rokkor-X 58/1.2</v>
      </c>
      <c r="C33" s="71">
        <f>LNOP!C152</f>
        <v>58</v>
      </c>
      <c r="D33" s="71">
        <f>LNOP!D152</f>
        <v>1.2</v>
      </c>
      <c r="E33" s="71">
        <f>LNOP!E152</f>
        <v>92.800000000000011</v>
      </c>
      <c r="F33" s="72" t="str">
        <f>LNOP!F152</f>
        <v>MD</v>
      </c>
      <c r="G33" s="59">
        <f>LNOP!G152</f>
        <v>0.6</v>
      </c>
      <c r="H33" s="40">
        <f>LNOP!H152</f>
        <v>0.45500000000000002</v>
      </c>
      <c r="I33" s="36">
        <f>LNOP!I152</f>
        <v>54</v>
      </c>
      <c r="J33" s="36">
        <f>LNOP!J152</f>
        <v>69</v>
      </c>
      <c r="K33" s="71">
        <f>LNOP!K152</f>
        <v>55</v>
      </c>
      <c r="L33" s="61">
        <f>LNOP!L152</f>
        <v>382.38461538461536</v>
      </c>
      <c r="M33" s="68" t="str">
        <f>LNOP!M152</f>
        <v>.18-07</v>
      </c>
      <c r="N33" s="61">
        <f>LNOP!N152</f>
        <v>553.09090909090912</v>
      </c>
      <c r="O33" s="68" t="str">
        <f>LNOP!O152</f>
        <v>.18-08</v>
      </c>
      <c r="P33" s="61">
        <f>LNOP!P152</f>
        <v>450</v>
      </c>
      <c r="Q33" s="68" t="str">
        <f>LNOP!Q152</f>
        <v>.13-07</v>
      </c>
      <c r="R33" s="52" t="str">
        <f>LNOP!R152</f>
        <v>b&amp;h</v>
      </c>
      <c r="S33" s="61" t="str">
        <f>LNOP!S152</f>
        <v xml:space="preserve"> </v>
      </c>
      <c r="T33" s="68" t="str">
        <f>LNOP!T152</f>
        <v xml:space="preserve"> </v>
      </c>
      <c r="U33" s="52" t="str">
        <f>LNOP!U152</f>
        <v xml:space="preserve"> </v>
      </c>
      <c r="V33" s="34"/>
    </row>
    <row r="36" spans="1:22" s="14" customFormat="1" ht="12" customHeight="1">
      <c r="A36" s="120" t="str">
        <f>EFz!A10</f>
        <v>Canon</v>
      </c>
      <c r="B36" s="121" t="str">
        <f>EFz!B10</f>
        <v xml:space="preserve">EF 16-35/4 L IS USM </v>
      </c>
      <c r="C36" s="122" t="str">
        <f>EFz!C10</f>
        <v>16-35</v>
      </c>
      <c r="D36" s="122">
        <f>EFz!D10</f>
        <v>4</v>
      </c>
      <c r="E36" s="122" t="str">
        <f>EFz!E10</f>
        <v>26-56</v>
      </c>
      <c r="F36" s="123" t="str">
        <f>EFz!F10</f>
        <v>EF</v>
      </c>
      <c r="G36" s="48">
        <f>EFz!G10</f>
        <v>0.28000000000000003</v>
      </c>
      <c r="H36" s="124">
        <f>EFz!H10</f>
        <v>0.61499999999999999</v>
      </c>
      <c r="I36" s="125">
        <f>EFz!I10</f>
        <v>112.8</v>
      </c>
      <c r="J36" s="125">
        <f>EFz!J10</f>
        <v>82.6</v>
      </c>
      <c r="K36" s="122">
        <f>EFz!K10</f>
        <v>77</v>
      </c>
      <c r="L36" s="77">
        <f>EFz!L10</f>
        <v>739.41666666666663</v>
      </c>
      <c r="M36" s="126" t="str">
        <f>EFz!M10</f>
        <v>.18-08</v>
      </c>
      <c r="N36" s="77">
        <f>EFz!N10</f>
        <v>832</v>
      </c>
      <c r="O36" s="126" t="str">
        <f>EFz!O10</f>
        <v>.18-08</v>
      </c>
      <c r="P36" s="77">
        <f>EFz!P10</f>
        <v>756.2</v>
      </c>
      <c r="Q36" s="126" t="str">
        <f>EFz!Q10</f>
        <v>.18-07</v>
      </c>
      <c r="R36" s="78" t="str">
        <f>EFz!R10</f>
        <v>d'town</v>
      </c>
      <c r="S36" s="77">
        <f>EFz!S10</f>
        <v>910</v>
      </c>
      <c r="T36" s="126" t="str">
        <f>EFz!T10</f>
        <v>.16-12</v>
      </c>
      <c r="U36" s="78" t="str">
        <f>EFz!U10</f>
        <v>ado</v>
      </c>
      <c r="V36" s="34"/>
    </row>
    <row r="37" spans="1:22" s="14" customFormat="1" ht="12" customHeight="1">
      <c r="A37" s="128" t="e">
        <f>STT!#REF!</f>
        <v>#REF!</v>
      </c>
      <c r="B37" s="57" t="e">
        <f>STT!#REF!</f>
        <v>#REF!</v>
      </c>
      <c r="C37" s="71" t="e">
        <f>STT!#REF!</f>
        <v>#REF!</v>
      </c>
      <c r="D37" s="71" t="e">
        <f>STT!#REF!</f>
        <v>#REF!</v>
      </c>
      <c r="E37" s="71" t="e">
        <f>STT!#REF!</f>
        <v>#REF!</v>
      </c>
      <c r="F37" s="72" t="e">
        <f>STT!#REF!</f>
        <v>#REF!</v>
      </c>
      <c r="G37" s="59" t="e">
        <f>STT!#REF!</f>
        <v>#REF!</v>
      </c>
      <c r="H37" s="40" t="e">
        <f>STT!#REF!</f>
        <v>#REF!</v>
      </c>
      <c r="I37" s="36" t="e">
        <f>STT!#REF!</f>
        <v>#REF!</v>
      </c>
      <c r="J37" s="36" t="e">
        <f>STT!#REF!</f>
        <v>#REF!</v>
      </c>
      <c r="K37" s="71" t="e">
        <f>STT!#REF!</f>
        <v>#REF!</v>
      </c>
      <c r="L37" s="61" t="e">
        <f>STT!#REF!</f>
        <v>#REF!</v>
      </c>
      <c r="M37" s="68" t="e">
        <f>STT!#REF!</f>
        <v>#REF!</v>
      </c>
      <c r="N37" s="61" t="e">
        <f>STT!#REF!</f>
        <v>#REF!</v>
      </c>
      <c r="O37" s="68" t="e">
        <f>STT!#REF!</f>
        <v>#REF!</v>
      </c>
      <c r="P37" s="61" t="e">
        <f>STT!#REF!</f>
        <v>#REF!</v>
      </c>
      <c r="Q37" s="68" t="e">
        <f>STT!#REF!</f>
        <v>#REF!</v>
      </c>
      <c r="R37" s="52" t="e">
        <f>STT!#REF!</f>
        <v>#REF!</v>
      </c>
      <c r="S37" s="61" t="e">
        <f>STT!#REF!</f>
        <v>#REF!</v>
      </c>
      <c r="T37" s="68" t="e">
        <f>STT!#REF!</f>
        <v>#REF!</v>
      </c>
      <c r="U37" s="52" t="e">
        <f>STT!#REF!</f>
        <v>#REF!</v>
      </c>
      <c r="V37" s="34"/>
    </row>
  </sheetData>
  <conditionalFormatting sqref="O6:O8 M6:M8">
    <cfRule type="cellIs" dxfId="19" priority="240" stopIfTrue="1" operator="lessThan">
      <formula>".08-09"</formula>
    </cfRule>
  </conditionalFormatting>
  <conditionalFormatting sqref="O8 M8">
    <cfRule type="cellIs" dxfId="18" priority="139" stopIfTrue="1" operator="lessThan">
      <formula>".08-09"</formula>
    </cfRule>
  </conditionalFormatting>
  <conditionalFormatting sqref="M9 O9">
    <cfRule type="cellIs" dxfId="17" priority="138" stopIfTrue="1" operator="lessThan">
      <formula>".08-09"</formula>
    </cfRule>
  </conditionalFormatting>
  <conditionalFormatting sqref="O29:O30 M29:M30">
    <cfRule type="cellIs" dxfId="16" priority="60" stopIfTrue="1" operator="lessThan">
      <formula>".08-09"</formula>
    </cfRule>
  </conditionalFormatting>
  <conditionalFormatting sqref="O32 M32">
    <cfRule type="cellIs" dxfId="15" priority="57" stopIfTrue="1" operator="lessThan">
      <formula>".08-09"</formula>
    </cfRule>
  </conditionalFormatting>
  <conditionalFormatting sqref="O33 M33">
    <cfRule type="cellIs" dxfId="14" priority="58" stopIfTrue="1" operator="lessThan">
      <formula>".08-09"</formula>
    </cfRule>
  </conditionalFormatting>
  <conditionalFormatting sqref="O36 M36">
    <cfRule type="cellIs" dxfId="13" priority="46" stopIfTrue="1" operator="lessThan">
      <formula>".08-09"</formula>
    </cfRule>
  </conditionalFormatting>
  <conditionalFormatting sqref="O37 M37">
    <cfRule type="cellIs" dxfId="12" priority="47" stopIfTrue="1" operator="lessThan">
      <formula>".08-09"</formula>
    </cfRule>
  </conditionalFormatting>
  <conditionalFormatting sqref="O11 M11">
    <cfRule type="cellIs" dxfId="11" priority="42" stopIfTrue="1" operator="lessThan">
      <formula>".08-09"</formula>
    </cfRule>
  </conditionalFormatting>
  <conditionalFormatting sqref="O12 M12">
    <cfRule type="cellIs" dxfId="10" priority="44" stopIfTrue="1" operator="lessThan">
      <formula>".08-09"</formula>
    </cfRule>
  </conditionalFormatting>
  <conditionalFormatting sqref="O26 M26">
    <cfRule type="cellIs" dxfId="9" priority="33" stopIfTrue="1" operator="lessThan">
      <formula>".08-09"</formula>
    </cfRule>
  </conditionalFormatting>
  <conditionalFormatting sqref="O13 M13">
    <cfRule type="cellIs" dxfId="8" priority="31" stopIfTrue="1" operator="lessThan">
      <formula>".08-09"</formula>
    </cfRule>
  </conditionalFormatting>
  <conditionalFormatting sqref="O15:O17 M15:M17">
    <cfRule type="cellIs" dxfId="7" priority="28" stopIfTrue="1" operator="lessThan">
      <formula>".08-09"</formula>
    </cfRule>
  </conditionalFormatting>
  <conditionalFormatting sqref="O17 M17">
    <cfRule type="cellIs" dxfId="6" priority="27" stopIfTrue="1" operator="lessThan">
      <formula>".08-09"</formula>
    </cfRule>
  </conditionalFormatting>
  <conditionalFormatting sqref="O19:O21 M19:M21">
    <cfRule type="cellIs" dxfId="5" priority="26" stopIfTrue="1" operator="lessThan">
      <formula>".08-09"</formula>
    </cfRule>
  </conditionalFormatting>
  <conditionalFormatting sqref="O21 M21">
    <cfRule type="cellIs" dxfId="4" priority="25" stopIfTrue="1" operator="lessThan">
      <formula>".08-09"</formula>
    </cfRule>
  </conditionalFormatting>
  <conditionalFormatting sqref="O22 M22">
    <cfRule type="cellIs" dxfId="3" priority="23" stopIfTrue="1" operator="lessThan">
      <formula>".08-09"</formula>
    </cfRule>
  </conditionalFormatting>
  <conditionalFormatting sqref="O23 M23">
    <cfRule type="cellIs" dxfId="2" priority="24" stopIfTrue="1" operator="lessThan">
      <formula>".08-09"</formula>
    </cfRule>
  </conditionalFormatting>
  <conditionalFormatting sqref="O25 M25">
    <cfRule type="cellIs" dxfId="1" priority="20" stopIfTrue="1" operator="lessThan">
      <formula>".08-09"</formula>
    </cfRule>
  </conditionalFormatting>
  <conditionalFormatting sqref="O28 M28">
    <cfRule type="cellIs" dxfId="0" priority="18" stopIfTrue="1" operator="lessThan">
      <formula>".08-09"</formula>
    </cfRule>
  </conditionalFormatting>
  <pageMargins left="0.3" right="0" top="0.5" bottom="0" header="0.59055118110236204" footer="0.511811023622047"/>
  <pageSetup orientation="landscape" r:id="rId1"/>
  <headerFooter alignWithMargins="0">
    <oddHeader>&amp;R&amp;9(&amp;P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
  <sheetViews>
    <sheetView zoomScaleNormal="100" workbookViewId="0"/>
  </sheetViews>
  <sheetFormatPr defaultColWidth="9.140625" defaultRowHeight="12.6" customHeight="1"/>
  <cols>
    <col min="1" max="1" width="6.28515625" style="26" customWidth="1"/>
    <col min="2" max="2" width="21.85546875" style="140" customWidth="1"/>
    <col min="3" max="3" width="6.28515625" style="25" customWidth="1"/>
    <col min="4" max="4" width="6.7109375" style="25" customWidth="1"/>
    <col min="5" max="5" width="8" style="25" customWidth="1"/>
    <col min="6" max="6" width="4.42578125" style="25" customWidth="1"/>
    <col min="7" max="7" width="4.7109375" style="47" customWidth="1"/>
    <col min="8" max="8" width="4.7109375" style="76" customWidth="1"/>
    <col min="9" max="11" width="4.7109375" style="9" customWidth="1"/>
    <col min="12" max="12" width="5.28515625" style="9" customWidth="1"/>
    <col min="13" max="13" width="5.28515625" style="10" customWidth="1"/>
    <col min="14" max="14" width="5.28515625" style="9" customWidth="1"/>
    <col min="15" max="15" width="5.28515625" style="10" customWidth="1"/>
    <col min="16" max="16" width="5.28515625" style="9" customWidth="1"/>
    <col min="17" max="17" width="5.28515625" style="10" customWidth="1"/>
    <col min="18" max="18" width="6.5703125" style="26" customWidth="1"/>
    <col min="19" max="19" width="5.28515625" style="9" customWidth="1"/>
    <col min="20" max="20" width="5.28515625" style="10" customWidth="1"/>
    <col min="21" max="21" width="6.5703125" style="26" customWidth="1"/>
    <col min="22" max="16384" width="9.140625" style="26"/>
  </cols>
  <sheetData>
    <row r="1" spans="1:2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Q1" s="25" t="s">
        <v>14</v>
      </c>
      <c r="R1" s="22" t="str">
        <f>i!B3</f>
        <v>.2018-09-01</v>
      </c>
      <c r="T1" s="25" t="s">
        <v>14</v>
      </c>
      <c r="U1" s="9" t="s">
        <v>14</v>
      </c>
    </row>
    <row r="2" spans="1:21" s="14" customFormat="1" ht="12.6" customHeight="1">
      <c r="A2" s="73" t="str">
        <f>i!A3</f>
        <v>v.34</v>
      </c>
      <c r="B2" s="24"/>
      <c r="C2" s="177" t="s">
        <v>14</v>
      </c>
      <c r="D2" s="13" t="s">
        <v>14</v>
      </c>
      <c r="E2" s="177" t="s">
        <v>14</v>
      </c>
      <c r="F2" s="13" t="s">
        <v>14</v>
      </c>
      <c r="G2" s="34" t="s">
        <v>14</v>
      </c>
      <c r="H2" s="21" t="s">
        <v>14</v>
      </c>
      <c r="I2" s="21" t="s">
        <v>14</v>
      </c>
      <c r="J2" s="21" t="s">
        <v>14</v>
      </c>
      <c r="K2" s="20" t="s">
        <v>14</v>
      </c>
      <c r="L2" s="22" t="s">
        <v>14</v>
      </c>
      <c r="M2" s="10" t="s">
        <v>14</v>
      </c>
      <c r="N2" s="36" t="s">
        <v>14</v>
      </c>
      <c r="O2" s="10" t="s">
        <v>14</v>
      </c>
      <c r="P2" s="36" t="s">
        <v>14</v>
      </c>
      <c r="Q2" s="10" t="s">
        <v>14</v>
      </c>
      <c r="R2" s="36" t="s">
        <v>14</v>
      </c>
      <c r="S2" s="36" t="s">
        <v>14</v>
      </c>
      <c r="T2" s="10" t="s">
        <v>14</v>
      </c>
      <c r="U2" s="36" t="s">
        <v>14</v>
      </c>
    </row>
    <row r="3" spans="1:21" s="24" customFormat="1" ht="12.6" customHeight="1">
      <c r="A3" s="24" t="s">
        <v>14</v>
      </c>
      <c r="B3" s="24" t="s">
        <v>14</v>
      </c>
      <c r="C3" s="119" t="s">
        <v>14</v>
      </c>
      <c r="D3" s="178" t="s">
        <v>14</v>
      </c>
      <c r="E3" s="119" t="s">
        <v>14</v>
      </c>
      <c r="F3" s="178" t="s">
        <v>14</v>
      </c>
      <c r="G3" s="41" t="s">
        <v>14</v>
      </c>
      <c r="H3" s="39" t="s">
        <v>14</v>
      </c>
      <c r="I3" s="39" t="s">
        <v>14</v>
      </c>
      <c r="J3" s="39" t="s">
        <v>14</v>
      </c>
      <c r="K3" s="39" t="s">
        <v>14</v>
      </c>
      <c r="L3" s="42" t="s">
        <v>14</v>
      </c>
      <c r="M3" s="43"/>
      <c r="N3" s="43" t="s">
        <v>15</v>
      </c>
      <c r="O3" s="43" t="s">
        <v>14</v>
      </c>
      <c r="P3" s="179" t="s">
        <v>14</v>
      </c>
      <c r="Q3" s="125"/>
      <c r="R3" s="50" t="s">
        <v>16</v>
      </c>
      <c r="S3" s="36"/>
      <c r="T3" s="43" t="s">
        <v>14</v>
      </c>
      <c r="U3" s="52" t="s">
        <v>14</v>
      </c>
    </row>
    <row r="4" spans="1:21" ht="12.6" customHeight="1">
      <c r="A4" s="24" t="s">
        <v>1207</v>
      </c>
      <c r="C4" s="25" t="s">
        <v>4</v>
      </c>
      <c r="D4" s="25" t="s">
        <v>9</v>
      </c>
      <c r="E4" s="25" t="s">
        <v>14</v>
      </c>
      <c r="F4" s="123" t="s">
        <v>11</v>
      </c>
      <c r="G4" s="48" t="s">
        <v>264</v>
      </c>
      <c r="H4" s="76" t="s">
        <v>5</v>
      </c>
      <c r="I4" s="9" t="s">
        <v>298</v>
      </c>
      <c r="J4" s="9" t="s">
        <v>299</v>
      </c>
      <c r="K4" s="50" t="s">
        <v>300</v>
      </c>
      <c r="L4" s="51" t="s">
        <v>450</v>
      </c>
      <c r="M4" s="52"/>
      <c r="N4" s="53" t="s">
        <v>17</v>
      </c>
      <c r="O4" s="36"/>
      <c r="P4" s="56"/>
      <c r="Q4" s="43" t="s">
        <v>451</v>
      </c>
      <c r="R4" s="62"/>
      <c r="S4" s="181"/>
      <c r="T4" s="52" t="s">
        <v>7</v>
      </c>
      <c r="U4" s="52"/>
    </row>
    <row r="5" spans="1:21" ht="12.6" customHeight="1">
      <c r="A5" s="57" t="s">
        <v>14</v>
      </c>
      <c r="B5" s="182" t="s">
        <v>14</v>
      </c>
      <c r="C5" s="68" t="s">
        <v>18</v>
      </c>
      <c r="D5" s="68" t="s">
        <v>14</v>
      </c>
      <c r="E5" s="68" t="s">
        <v>14</v>
      </c>
      <c r="F5" s="72" t="s">
        <v>14</v>
      </c>
      <c r="G5" s="59" t="s">
        <v>34</v>
      </c>
      <c r="H5" s="40" t="s">
        <v>19</v>
      </c>
      <c r="I5" s="36" t="s">
        <v>18</v>
      </c>
      <c r="J5" s="36" t="s">
        <v>18</v>
      </c>
      <c r="K5" s="52" t="s">
        <v>18</v>
      </c>
      <c r="L5" s="61" t="s">
        <v>20</v>
      </c>
      <c r="M5" s="52" t="s">
        <v>21</v>
      </c>
      <c r="N5" s="36" t="s">
        <v>20</v>
      </c>
      <c r="O5" s="52" t="s">
        <v>21</v>
      </c>
      <c r="P5" s="61" t="s">
        <v>20</v>
      </c>
      <c r="Q5" s="36" t="s">
        <v>21</v>
      </c>
      <c r="R5" s="52" t="s">
        <v>22</v>
      </c>
      <c r="S5" s="55" t="s">
        <v>20</v>
      </c>
      <c r="T5" s="43" t="s">
        <v>21</v>
      </c>
      <c r="U5" s="62" t="s">
        <v>22</v>
      </c>
    </row>
    <row r="6" spans="1:21" ht="12.6" customHeight="1">
      <c r="A6" s="137" t="s">
        <v>1181</v>
      </c>
      <c r="B6" s="130"/>
      <c r="C6" s="43"/>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s="14" customFormat="1" ht="12.6" customHeight="1">
      <c r="A7" s="80" t="s">
        <v>35</v>
      </c>
      <c r="B7" s="26" t="s">
        <v>1169</v>
      </c>
      <c r="C7" s="10">
        <v>35</v>
      </c>
      <c r="D7" s="10">
        <v>1.8</v>
      </c>
      <c r="E7" s="10">
        <f>C7</f>
        <v>35</v>
      </c>
      <c r="F7" s="74" t="s">
        <v>1079</v>
      </c>
      <c r="G7" s="169">
        <v>0.17</v>
      </c>
      <c r="H7" s="170">
        <v>0.30499999999999999</v>
      </c>
      <c r="I7" s="171">
        <v>62.8</v>
      </c>
      <c r="J7" s="171">
        <v>74.400000000000006</v>
      </c>
      <c r="K7" s="172">
        <v>52</v>
      </c>
      <c r="L7" s="77">
        <f t="shared" ref="L7:L11" si="0">AVERAGE(0)</f>
        <v>0</v>
      </c>
      <c r="M7" s="167" t="s">
        <v>14</v>
      </c>
      <c r="N7" s="9">
        <f t="shared" ref="N7:N11" si="1">AVERAGE(0)</f>
        <v>0</v>
      </c>
      <c r="O7" s="25" t="s">
        <v>14</v>
      </c>
      <c r="P7" s="65" t="s">
        <v>14</v>
      </c>
      <c r="Q7" s="25" t="s">
        <v>14</v>
      </c>
      <c r="R7" s="50" t="s">
        <v>14</v>
      </c>
      <c r="S7" s="136">
        <v>500</v>
      </c>
      <c r="T7" s="25" t="s">
        <v>1177</v>
      </c>
      <c r="U7" s="50" t="s">
        <v>30</v>
      </c>
    </row>
    <row r="8" spans="1:21" s="14" customFormat="1" ht="12.6" customHeight="1">
      <c r="A8" s="88" t="s">
        <v>35</v>
      </c>
      <c r="B8" s="67" t="s">
        <v>1173</v>
      </c>
      <c r="C8" s="117">
        <v>50</v>
      </c>
      <c r="D8" s="102">
        <v>1.2</v>
      </c>
      <c r="E8" s="89">
        <f t="shared" ref="E8:E11" si="2">C8</f>
        <v>50</v>
      </c>
      <c r="F8" s="90" t="s">
        <v>1079</v>
      </c>
      <c r="G8" s="173">
        <v>0.4</v>
      </c>
      <c r="H8" s="174">
        <v>0.95</v>
      </c>
      <c r="I8" s="175">
        <v>108</v>
      </c>
      <c r="J8" s="175">
        <v>89.8</v>
      </c>
      <c r="K8" s="176">
        <v>77</v>
      </c>
      <c r="L8" s="89">
        <f t="shared" si="0"/>
        <v>0</v>
      </c>
      <c r="M8" s="93" t="s">
        <v>14</v>
      </c>
      <c r="N8" s="89">
        <f t="shared" si="1"/>
        <v>0</v>
      </c>
      <c r="O8" s="89" t="s">
        <v>14</v>
      </c>
      <c r="P8" s="94" t="s">
        <v>14</v>
      </c>
      <c r="Q8" s="89" t="s">
        <v>14</v>
      </c>
      <c r="R8" s="93" t="s">
        <v>14</v>
      </c>
      <c r="S8" s="211">
        <v>2300</v>
      </c>
      <c r="T8" s="89" t="s">
        <v>1177</v>
      </c>
      <c r="U8" s="93" t="s">
        <v>30</v>
      </c>
    </row>
    <row r="9" spans="1:21" ht="5.25" customHeight="1">
      <c r="A9" s="139" t="s">
        <v>14</v>
      </c>
      <c r="B9" s="130" t="s">
        <v>14</v>
      </c>
      <c r="C9" s="131" t="s">
        <v>14</v>
      </c>
      <c r="D9" s="131" t="s">
        <v>14</v>
      </c>
      <c r="E9" s="131" t="s">
        <v>14</v>
      </c>
      <c r="F9" s="131" t="s">
        <v>14</v>
      </c>
      <c r="G9" s="138" t="s">
        <v>14</v>
      </c>
      <c r="H9" s="134" t="s">
        <v>14</v>
      </c>
      <c r="I9" s="43" t="s">
        <v>14</v>
      </c>
      <c r="J9" s="43" t="s">
        <v>14</v>
      </c>
      <c r="K9" s="131" t="s">
        <v>14</v>
      </c>
      <c r="L9" s="43" t="s">
        <v>14</v>
      </c>
      <c r="M9" s="135" t="s">
        <v>14</v>
      </c>
      <c r="N9" s="43" t="s">
        <v>14</v>
      </c>
      <c r="O9" s="135" t="s">
        <v>14</v>
      </c>
      <c r="P9" s="43" t="s">
        <v>14</v>
      </c>
      <c r="Q9" s="135" t="s">
        <v>14</v>
      </c>
      <c r="R9" s="43" t="s">
        <v>14</v>
      </c>
      <c r="S9" s="43" t="s">
        <v>14</v>
      </c>
      <c r="T9" s="135" t="s">
        <v>14</v>
      </c>
      <c r="U9" s="43" t="s">
        <v>14</v>
      </c>
    </row>
    <row r="10" spans="1:21" s="14" customFormat="1" ht="12.6" customHeight="1">
      <c r="A10" s="80" t="s">
        <v>35</v>
      </c>
      <c r="B10" s="26" t="s">
        <v>1170</v>
      </c>
      <c r="C10" s="10" t="s">
        <v>52</v>
      </c>
      <c r="D10" s="10">
        <v>4</v>
      </c>
      <c r="E10" s="10" t="str">
        <f t="shared" si="2"/>
        <v>24-105</v>
      </c>
      <c r="F10" s="74" t="s">
        <v>1079</v>
      </c>
      <c r="G10" s="169">
        <v>0.45</v>
      </c>
      <c r="H10" s="170">
        <v>0.69799999999999995</v>
      </c>
      <c r="I10" s="171">
        <v>107.3</v>
      </c>
      <c r="J10" s="171">
        <v>83.5</v>
      </c>
      <c r="K10" s="172">
        <v>77</v>
      </c>
      <c r="L10" s="77">
        <f t="shared" si="0"/>
        <v>0</v>
      </c>
      <c r="M10" s="167" t="s">
        <v>14</v>
      </c>
      <c r="N10" s="9">
        <f t="shared" si="1"/>
        <v>0</v>
      </c>
      <c r="O10" s="25" t="s">
        <v>14</v>
      </c>
      <c r="P10" s="65" t="s">
        <v>14</v>
      </c>
      <c r="Q10" s="25" t="s">
        <v>14</v>
      </c>
      <c r="R10" s="50" t="s">
        <v>14</v>
      </c>
      <c r="S10" s="136">
        <v>1100</v>
      </c>
      <c r="T10" s="25" t="s">
        <v>1177</v>
      </c>
      <c r="U10" s="50" t="s">
        <v>30</v>
      </c>
    </row>
    <row r="11" spans="1:21" s="14" customFormat="1" ht="12.6" customHeight="1">
      <c r="A11" s="88" t="s">
        <v>35</v>
      </c>
      <c r="B11" s="67" t="s">
        <v>1172</v>
      </c>
      <c r="C11" s="117" t="s">
        <v>50</v>
      </c>
      <c r="D11" s="102">
        <v>2</v>
      </c>
      <c r="E11" s="89" t="str">
        <f t="shared" si="2"/>
        <v>24-70</v>
      </c>
      <c r="F11" s="90" t="s">
        <v>1079</v>
      </c>
      <c r="G11" s="173">
        <v>0.39</v>
      </c>
      <c r="H11" s="174">
        <v>1.43</v>
      </c>
      <c r="I11" s="175">
        <v>139.80000000000001</v>
      </c>
      <c r="J11" s="175">
        <v>103.8</v>
      </c>
      <c r="K11" s="176">
        <v>95</v>
      </c>
      <c r="L11" s="89">
        <f t="shared" si="0"/>
        <v>0</v>
      </c>
      <c r="M11" s="93" t="s">
        <v>14</v>
      </c>
      <c r="N11" s="89">
        <f t="shared" si="1"/>
        <v>0</v>
      </c>
      <c r="O11" s="89" t="s">
        <v>14</v>
      </c>
      <c r="P11" s="94" t="s">
        <v>14</v>
      </c>
      <c r="Q11" s="89" t="s">
        <v>14</v>
      </c>
      <c r="R11" s="93" t="s">
        <v>14</v>
      </c>
      <c r="S11" s="211">
        <v>3000</v>
      </c>
      <c r="T11" s="89" t="s">
        <v>1177</v>
      </c>
      <c r="U11" s="93" t="s">
        <v>30</v>
      </c>
    </row>
    <row r="12" spans="1:21" ht="12.6" customHeight="1">
      <c r="A12" s="26" t="s">
        <v>14</v>
      </c>
      <c r="B12" s="140" t="s">
        <v>14</v>
      </c>
      <c r="C12" s="25" t="s">
        <v>14</v>
      </c>
      <c r="D12" s="25" t="s">
        <v>14</v>
      </c>
      <c r="E12" s="25" t="s">
        <v>14</v>
      </c>
      <c r="F12" s="25" t="s">
        <v>14</v>
      </c>
      <c r="G12" s="47" t="s">
        <v>14</v>
      </c>
      <c r="H12" s="76" t="s">
        <v>14</v>
      </c>
      <c r="I12" s="9" t="s">
        <v>14</v>
      </c>
      <c r="J12" s="9" t="s">
        <v>14</v>
      </c>
      <c r="K12" s="9" t="s">
        <v>14</v>
      </c>
      <c r="L12" s="9" t="s">
        <v>14</v>
      </c>
      <c r="M12" s="10" t="s">
        <v>14</v>
      </c>
      <c r="N12" s="9" t="s">
        <v>14</v>
      </c>
      <c r="O12" s="10" t="s">
        <v>14</v>
      </c>
      <c r="P12" s="9" t="s">
        <v>14</v>
      </c>
      <c r="Q12" s="10" t="s">
        <v>14</v>
      </c>
      <c r="R12" s="26" t="s">
        <v>14</v>
      </c>
      <c r="S12" s="9" t="s">
        <v>14</v>
      </c>
      <c r="T12" s="10" t="s">
        <v>14</v>
      </c>
      <c r="U12" s="26" t="s">
        <v>14</v>
      </c>
    </row>
    <row r="13" spans="1:21" ht="12.6" customHeight="1">
      <c r="A13" s="26" t="s">
        <v>14</v>
      </c>
      <c r="B13" s="140" t="s">
        <v>14</v>
      </c>
      <c r="C13" s="25" t="s">
        <v>14</v>
      </c>
      <c r="D13" s="25" t="s">
        <v>14</v>
      </c>
      <c r="E13" s="25" t="s">
        <v>14</v>
      </c>
      <c r="F13" s="25" t="s">
        <v>14</v>
      </c>
      <c r="G13" s="47" t="s">
        <v>14</v>
      </c>
      <c r="H13" s="76" t="s">
        <v>14</v>
      </c>
      <c r="I13" s="9" t="s">
        <v>14</v>
      </c>
      <c r="J13" s="9" t="s">
        <v>14</v>
      </c>
      <c r="K13" s="9" t="s">
        <v>14</v>
      </c>
      <c r="L13" s="9" t="s">
        <v>14</v>
      </c>
      <c r="M13" s="10" t="s">
        <v>14</v>
      </c>
      <c r="N13" s="9" t="s">
        <v>14</v>
      </c>
      <c r="O13" s="10" t="s">
        <v>14</v>
      </c>
      <c r="P13" s="9" t="s">
        <v>14</v>
      </c>
      <c r="Q13" s="10" t="s">
        <v>14</v>
      </c>
      <c r="R13" s="26" t="s">
        <v>14</v>
      </c>
      <c r="S13" s="9" t="s">
        <v>14</v>
      </c>
      <c r="T13" s="10" t="s">
        <v>14</v>
      </c>
      <c r="U13" s="26" t="s">
        <v>14</v>
      </c>
    </row>
  </sheetData>
  <sheetProtection password="990B" sheet="1" objects="1" scenarios="1"/>
  <pageMargins left="0.3" right="0" top="0.5" bottom="0" header="0.59055118110236204" footer="0.511811023622047"/>
  <pageSetup orientation="landscape" r:id="rId1"/>
  <headerFooter alignWithMargins="0">
    <oddHeader>&amp;R&amp;9(&amp;P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85"/>
  <sheetViews>
    <sheetView zoomScaleNormal="100" workbookViewId="0"/>
  </sheetViews>
  <sheetFormatPr defaultColWidth="9.140625" defaultRowHeight="12.6" customHeight="1"/>
  <cols>
    <col min="1" max="1" width="7.85546875" style="14" customWidth="1"/>
    <col min="2" max="2" width="20.140625" style="186" customWidth="1"/>
    <col min="3" max="3" width="4.7109375" style="20" customWidth="1"/>
    <col min="4" max="4" width="6.28515625" style="21" customWidth="1"/>
    <col min="5" max="5" width="6.28515625" style="20" customWidth="1"/>
    <col min="6" max="6" width="4.85546875" style="20" customWidth="1"/>
    <col min="7" max="7" width="5.28515625" style="34" customWidth="1"/>
    <col min="8" max="11" width="5.28515625" style="21" customWidth="1"/>
    <col min="12" max="12" width="5.28515625" style="20" customWidth="1"/>
    <col min="13" max="13" width="5.28515625" style="21" customWidth="1"/>
    <col min="14" max="14" width="5.28515625" style="20" customWidth="1"/>
    <col min="15" max="15" width="5.28515625" style="21" customWidth="1"/>
    <col min="16" max="16" width="5.28515625" style="20" customWidth="1"/>
    <col min="17" max="17" width="5.28515625" style="21" customWidth="1"/>
    <col min="18" max="18" width="6.42578125" style="21" customWidth="1"/>
    <col min="19" max="19" width="5.28515625" style="9" customWidth="1"/>
    <col min="20" max="20" width="5.28515625" style="21" customWidth="1"/>
    <col min="21" max="21" width="6.42578125" style="21" customWidth="1"/>
    <col min="22" max="16384" width="9.140625" style="14"/>
  </cols>
  <sheetData>
    <row r="1" spans="1:21" s="26" customFormat="1" ht="12.6" customHeight="1">
      <c r="A1" s="73" t="str">
        <f>i!A1</f>
        <v>Lens$db: Lens Price database</v>
      </c>
      <c r="B1" s="46"/>
      <c r="C1" s="9"/>
      <c r="D1" s="10"/>
      <c r="E1" s="9"/>
      <c r="F1" s="9"/>
      <c r="G1" s="47"/>
      <c r="H1" s="76"/>
      <c r="I1" s="9" t="s">
        <v>14</v>
      </c>
      <c r="J1" s="9"/>
      <c r="K1" s="10" t="s">
        <v>14</v>
      </c>
      <c r="L1" s="9"/>
      <c r="M1" s="25"/>
      <c r="N1" s="9"/>
      <c r="O1" s="25"/>
      <c r="P1" s="9" t="s">
        <v>14</v>
      </c>
      <c r="Q1" s="25" t="s">
        <v>14</v>
      </c>
      <c r="R1" s="22" t="str">
        <f>i!B3</f>
        <v>.2018-09-01</v>
      </c>
      <c r="S1" s="9"/>
      <c r="T1" s="25"/>
      <c r="U1" s="9" t="s">
        <v>14</v>
      </c>
    </row>
    <row r="2" spans="1:21" ht="12.6" customHeight="1">
      <c r="A2" s="24" t="str">
        <f>i!A3</f>
        <v>v.34</v>
      </c>
      <c r="B2" s="24"/>
      <c r="C2" s="177"/>
      <c r="D2" s="13"/>
      <c r="E2" s="177"/>
      <c r="F2" s="13"/>
      <c r="K2" s="20"/>
      <c r="L2" s="22" t="s">
        <v>14</v>
      </c>
      <c r="M2" s="10" t="s">
        <v>14</v>
      </c>
      <c r="N2" s="36" t="s">
        <v>14</v>
      </c>
      <c r="O2" s="10" t="s">
        <v>14</v>
      </c>
      <c r="P2" s="36" t="s">
        <v>14</v>
      </c>
      <c r="Q2" s="10" t="s">
        <v>14</v>
      </c>
      <c r="R2" s="36" t="s">
        <v>14</v>
      </c>
      <c r="S2" s="36" t="s">
        <v>14</v>
      </c>
      <c r="T2" s="10" t="s">
        <v>14</v>
      </c>
      <c r="U2" s="36" t="s">
        <v>14</v>
      </c>
    </row>
    <row r="3" spans="1:21" ht="12.6" customHeight="1">
      <c r="A3" s="24"/>
      <c r="B3" s="24"/>
      <c r="C3" s="119"/>
      <c r="D3" s="178"/>
      <c r="E3" s="119"/>
      <c r="F3" s="178"/>
      <c r="G3" s="41"/>
      <c r="H3" s="39"/>
      <c r="I3" s="39"/>
      <c r="J3" s="39"/>
      <c r="K3" s="39"/>
      <c r="L3" s="42"/>
      <c r="M3" s="43"/>
      <c r="N3" s="43" t="s">
        <v>15</v>
      </c>
      <c r="O3" s="43"/>
      <c r="P3" s="179"/>
      <c r="Q3" s="125"/>
      <c r="R3" s="78" t="s">
        <v>16</v>
      </c>
      <c r="S3" s="43"/>
      <c r="T3" s="43"/>
      <c r="U3" s="62"/>
    </row>
    <row r="4" spans="1:21" ht="12.6" customHeight="1">
      <c r="A4" s="180" t="s">
        <v>1187</v>
      </c>
      <c r="B4" s="140"/>
      <c r="C4" s="25" t="s">
        <v>4</v>
      </c>
      <c r="D4" s="25" t="s">
        <v>9</v>
      </c>
      <c r="E4" s="25" t="s">
        <v>636</v>
      </c>
      <c r="F4" s="123" t="s">
        <v>11</v>
      </c>
      <c r="G4" s="48" t="s">
        <v>264</v>
      </c>
      <c r="H4" s="76" t="s">
        <v>5</v>
      </c>
      <c r="I4" s="9" t="s">
        <v>298</v>
      </c>
      <c r="J4" s="9" t="s">
        <v>299</v>
      </c>
      <c r="K4" s="50" t="s">
        <v>300</v>
      </c>
      <c r="L4" s="51" t="s">
        <v>450</v>
      </c>
      <c r="M4" s="52"/>
      <c r="N4" s="53" t="s">
        <v>17</v>
      </c>
      <c r="O4" s="36"/>
      <c r="P4" s="56"/>
      <c r="Q4" s="43" t="s">
        <v>451</v>
      </c>
      <c r="R4" s="62"/>
      <c r="S4" s="181"/>
      <c r="T4" s="52" t="s">
        <v>7</v>
      </c>
      <c r="U4" s="52"/>
    </row>
    <row r="5" spans="1:21" s="26" customFormat="1" ht="12.6" customHeight="1">
      <c r="A5" s="182" t="s">
        <v>14</v>
      </c>
      <c r="B5" s="182" t="s">
        <v>14</v>
      </c>
      <c r="C5" s="68" t="s">
        <v>18</v>
      </c>
      <c r="D5" s="68" t="s">
        <v>14</v>
      </c>
      <c r="E5" s="68" t="s">
        <v>18</v>
      </c>
      <c r="F5" s="72" t="s">
        <v>14</v>
      </c>
      <c r="G5" s="59" t="s">
        <v>34</v>
      </c>
      <c r="H5" s="40" t="s">
        <v>19</v>
      </c>
      <c r="I5" s="36" t="s">
        <v>18</v>
      </c>
      <c r="J5" s="36" t="s">
        <v>18</v>
      </c>
      <c r="K5" s="52" t="s">
        <v>18</v>
      </c>
      <c r="L5" s="61" t="s">
        <v>20</v>
      </c>
      <c r="M5" s="52" t="s">
        <v>21</v>
      </c>
      <c r="N5" s="36" t="s">
        <v>20</v>
      </c>
      <c r="O5" s="52" t="s">
        <v>21</v>
      </c>
      <c r="P5" s="61" t="s">
        <v>20</v>
      </c>
      <c r="Q5" s="36" t="s">
        <v>21</v>
      </c>
      <c r="R5" s="52" t="s">
        <v>22</v>
      </c>
      <c r="S5" s="55" t="s">
        <v>20</v>
      </c>
      <c r="T5" s="43" t="s">
        <v>21</v>
      </c>
      <c r="U5" s="62" t="s">
        <v>22</v>
      </c>
    </row>
    <row r="6" spans="1:21" ht="12.6" customHeight="1">
      <c r="A6" s="73" t="s">
        <v>35</v>
      </c>
      <c r="B6" s="46" t="s">
        <v>763</v>
      </c>
      <c r="C6" s="9">
        <v>17</v>
      </c>
      <c r="D6" s="10">
        <v>4</v>
      </c>
      <c r="E6" s="50">
        <f t="shared" ref="E6:E13" si="0">1.6*C6</f>
        <v>27.200000000000003</v>
      </c>
      <c r="F6" s="9" t="s">
        <v>522</v>
      </c>
      <c r="G6" s="75">
        <v>0.25</v>
      </c>
      <c r="H6" s="76">
        <v>0.82</v>
      </c>
      <c r="I6" s="9">
        <v>106.7</v>
      </c>
      <c r="J6" s="9">
        <v>88.9</v>
      </c>
      <c r="K6" s="10" t="s">
        <v>29</v>
      </c>
      <c r="L6" s="65">
        <f>AVERAGE(1490,1550,1500,1509,1533,1575,1387,1532,1650,1500)</f>
        <v>1522.6</v>
      </c>
      <c r="M6" s="118" t="s">
        <v>1153</v>
      </c>
      <c r="N6" s="65">
        <f>AVERAGE(1620,1699,1749,1680,1745,1592,1625,1900,1795,1801,1745,1779,1750,1700)</f>
        <v>1727.1428571428571</v>
      </c>
      <c r="O6" s="25" t="s">
        <v>1171</v>
      </c>
      <c r="P6" s="65">
        <v>1730</v>
      </c>
      <c r="Q6" s="25" t="s">
        <v>1061</v>
      </c>
      <c r="R6" s="50" t="s">
        <v>30</v>
      </c>
      <c r="S6" s="65">
        <v>1840</v>
      </c>
      <c r="T6" s="25" t="s">
        <v>951</v>
      </c>
      <c r="U6" s="50" t="s">
        <v>946</v>
      </c>
    </row>
    <row r="7" spans="1:21" ht="12.6" customHeight="1">
      <c r="A7" s="73" t="s">
        <v>35</v>
      </c>
      <c r="B7" s="46" t="s">
        <v>767</v>
      </c>
      <c r="C7" s="9">
        <v>24</v>
      </c>
      <c r="D7" s="10">
        <v>3.5</v>
      </c>
      <c r="E7" s="50">
        <f t="shared" si="0"/>
        <v>38.400000000000006</v>
      </c>
      <c r="F7" s="9" t="s">
        <v>522</v>
      </c>
      <c r="G7" s="75">
        <v>0.3</v>
      </c>
      <c r="H7" s="76">
        <v>0.56999999999999995</v>
      </c>
      <c r="I7" s="9">
        <v>86.7</v>
      </c>
      <c r="J7" s="9">
        <v>78</v>
      </c>
      <c r="K7" s="10">
        <v>72</v>
      </c>
      <c r="L7" s="65">
        <f>AVERAGE(660,540,650,599,536,550,504,625,660,600,626,617)</f>
        <v>597.25</v>
      </c>
      <c r="M7" s="25" t="s">
        <v>1171</v>
      </c>
      <c r="N7" s="65">
        <f>AVERAGE(625,680,800,800,815,799,799,950,819,832,750,819)</f>
        <v>790.66666666666663</v>
      </c>
      <c r="O7" s="25" t="s">
        <v>1171</v>
      </c>
      <c r="P7" s="65">
        <v>800</v>
      </c>
      <c r="Q7" s="25" t="s">
        <v>892</v>
      </c>
      <c r="R7" s="50" t="s">
        <v>31</v>
      </c>
      <c r="S7" s="65">
        <v>984</v>
      </c>
      <c r="T7" s="25" t="s">
        <v>1061</v>
      </c>
      <c r="U7" s="50" t="s">
        <v>30</v>
      </c>
    </row>
    <row r="8" spans="1:21" ht="12.6" customHeight="1">
      <c r="A8" s="73" t="s">
        <v>35</v>
      </c>
      <c r="B8" s="46" t="s">
        <v>751</v>
      </c>
      <c r="C8" s="9">
        <v>24</v>
      </c>
      <c r="D8" s="10">
        <v>3.5</v>
      </c>
      <c r="E8" s="50">
        <f t="shared" si="0"/>
        <v>38.400000000000006</v>
      </c>
      <c r="F8" s="9" t="s">
        <v>522</v>
      </c>
      <c r="G8" s="75">
        <v>0.21</v>
      </c>
      <c r="H8" s="76">
        <v>0.78</v>
      </c>
      <c r="I8" s="9">
        <v>106.9</v>
      </c>
      <c r="J8" s="9">
        <v>88.5</v>
      </c>
      <c r="K8" s="10">
        <v>82</v>
      </c>
      <c r="L8" s="65">
        <f>AVERAGE(1200,1300,1373,1450,1152,1226,1430,1307,1100,1400,1353,1475,1249,1287)</f>
        <v>1307.2857142857142</v>
      </c>
      <c r="M8" s="118" t="s">
        <v>1171</v>
      </c>
      <c r="N8" s="65">
        <f>AVERAGE(1530,1325,1450,1399,1526,1575,1600,1502,1629,1536,1599,1427)</f>
        <v>1508.1666666666667</v>
      </c>
      <c r="O8" s="25" t="s">
        <v>1171</v>
      </c>
      <c r="P8" s="65">
        <v>1510</v>
      </c>
      <c r="Q8" s="25" t="s">
        <v>1153</v>
      </c>
      <c r="R8" s="50" t="s">
        <v>31</v>
      </c>
      <c r="S8" s="65">
        <f>2250*CA.US</f>
        <v>1710</v>
      </c>
      <c r="T8" s="25" t="s">
        <v>953</v>
      </c>
      <c r="U8" s="50" t="s">
        <v>873</v>
      </c>
    </row>
    <row r="9" spans="1:21" ht="12.6" customHeight="1">
      <c r="A9" s="73" t="s">
        <v>35</v>
      </c>
      <c r="B9" s="46" t="s">
        <v>771</v>
      </c>
      <c r="C9" s="9">
        <v>45</v>
      </c>
      <c r="D9" s="10">
        <v>2.8</v>
      </c>
      <c r="E9" s="50">
        <f t="shared" si="0"/>
        <v>72</v>
      </c>
      <c r="F9" s="9" t="s">
        <v>522</v>
      </c>
      <c r="G9" s="75">
        <v>0.4</v>
      </c>
      <c r="H9" s="76">
        <v>0.64500000000000002</v>
      </c>
      <c r="I9" s="9">
        <v>90.1</v>
      </c>
      <c r="J9" s="9">
        <v>81</v>
      </c>
      <c r="K9" s="10">
        <v>72</v>
      </c>
      <c r="L9" s="65">
        <f>AVERAGE(449,486,500,455,336,450,581,510,526)</f>
        <v>477</v>
      </c>
      <c r="M9" s="118" t="s">
        <v>1171</v>
      </c>
      <c r="N9" s="65">
        <f>AVERAGE(634,549,750,750,455,679)</f>
        <v>636.16666666666663</v>
      </c>
      <c r="O9" s="25" t="s">
        <v>1171</v>
      </c>
      <c r="P9" s="65">
        <v>1000</v>
      </c>
      <c r="Q9" s="25" t="s">
        <v>951</v>
      </c>
      <c r="R9" s="50" t="s">
        <v>948</v>
      </c>
      <c r="S9" s="65">
        <f>1500*CA.US</f>
        <v>1140</v>
      </c>
      <c r="T9" s="25" t="s">
        <v>892</v>
      </c>
      <c r="U9" s="50" t="s">
        <v>873</v>
      </c>
    </row>
    <row r="10" spans="1:21" ht="12.6" customHeight="1">
      <c r="A10" s="73" t="s">
        <v>35</v>
      </c>
      <c r="B10" s="46" t="s">
        <v>967</v>
      </c>
      <c r="C10" s="9">
        <v>50</v>
      </c>
      <c r="D10" s="10">
        <v>2.8</v>
      </c>
      <c r="E10" s="50">
        <f t="shared" si="0"/>
        <v>80</v>
      </c>
      <c r="F10" s="9" t="s">
        <v>522</v>
      </c>
      <c r="G10" s="75">
        <v>0.27</v>
      </c>
      <c r="H10" s="76">
        <v>0.94499999999999995</v>
      </c>
      <c r="I10" s="9">
        <v>114.9</v>
      </c>
      <c r="J10" s="9">
        <v>86.6</v>
      </c>
      <c r="K10" s="10">
        <v>77</v>
      </c>
      <c r="L10" s="65">
        <f t="shared" ref="L10" si="1">AVERAGE(0)</f>
        <v>0</v>
      </c>
      <c r="M10" s="25" t="s">
        <v>14</v>
      </c>
      <c r="N10" s="65">
        <f t="shared" ref="N10" si="2">AVERAGE(0)</f>
        <v>0</v>
      </c>
      <c r="O10" s="25" t="s">
        <v>14</v>
      </c>
      <c r="P10" s="65" t="s">
        <v>14</v>
      </c>
      <c r="Q10" s="25" t="s">
        <v>14</v>
      </c>
      <c r="R10" s="50" t="s">
        <v>14</v>
      </c>
      <c r="S10" s="136">
        <v>2200</v>
      </c>
      <c r="T10" s="25" t="s">
        <v>1171</v>
      </c>
      <c r="U10" s="50" t="s">
        <v>30</v>
      </c>
    </row>
    <row r="11" spans="1:21" ht="12.6" customHeight="1">
      <c r="A11" s="73" t="s">
        <v>35</v>
      </c>
      <c r="B11" s="46" t="s">
        <v>778</v>
      </c>
      <c r="C11" s="9">
        <v>90</v>
      </c>
      <c r="D11" s="10">
        <v>2.8</v>
      </c>
      <c r="E11" s="50">
        <f t="shared" si="0"/>
        <v>144</v>
      </c>
      <c r="F11" s="9" t="s">
        <v>522</v>
      </c>
      <c r="G11" s="75">
        <v>0.4</v>
      </c>
      <c r="H11" s="76">
        <v>0.56499999999999995</v>
      </c>
      <c r="I11" s="9">
        <v>88</v>
      </c>
      <c r="J11" s="9">
        <v>73.599999999999994</v>
      </c>
      <c r="K11" s="10">
        <v>58</v>
      </c>
      <c r="L11" s="65">
        <f>AVERAGE(550,595,550,599,550,550,600,701)</f>
        <v>586.875</v>
      </c>
      <c r="M11" s="25" t="s">
        <v>1171</v>
      </c>
      <c r="N11" s="65">
        <f>AVERAGE(632,600,700,680,675,822,840,777)</f>
        <v>715.75</v>
      </c>
      <c r="O11" s="25" t="s">
        <v>1171</v>
      </c>
      <c r="P11" s="65">
        <f>845*CA.US</f>
        <v>642.20000000000005</v>
      </c>
      <c r="Q11" s="25" t="s">
        <v>1153</v>
      </c>
      <c r="R11" s="50" t="s">
        <v>327</v>
      </c>
      <c r="S11" s="65">
        <v>1050</v>
      </c>
      <c r="T11" s="25" t="s">
        <v>1061</v>
      </c>
      <c r="U11" s="50" t="s">
        <v>30</v>
      </c>
    </row>
    <row r="12" spans="1:21" ht="12.6" customHeight="1">
      <c r="A12" s="73" t="s">
        <v>35</v>
      </c>
      <c r="B12" s="46" t="s">
        <v>968</v>
      </c>
      <c r="C12" s="9">
        <v>90</v>
      </c>
      <c r="D12" s="10">
        <v>2.8</v>
      </c>
      <c r="E12" s="50">
        <f t="shared" si="0"/>
        <v>144</v>
      </c>
      <c r="F12" s="9" t="s">
        <v>522</v>
      </c>
      <c r="G12" s="75">
        <v>0.39</v>
      </c>
      <c r="H12" s="76">
        <v>0.91500000000000004</v>
      </c>
      <c r="I12" s="9">
        <v>116.5</v>
      </c>
      <c r="J12" s="9">
        <v>86.9</v>
      </c>
      <c r="K12" s="10">
        <v>77</v>
      </c>
      <c r="L12" s="65">
        <f t="shared" ref="L12:L13" si="3">AVERAGE(0)</f>
        <v>0</v>
      </c>
      <c r="M12" s="25" t="s">
        <v>14</v>
      </c>
      <c r="N12" s="65">
        <f t="shared" ref="N12:N13" si="4">AVERAGE(0)</f>
        <v>0</v>
      </c>
      <c r="O12" s="25" t="s">
        <v>14</v>
      </c>
      <c r="P12" s="65" t="s">
        <v>14</v>
      </c>
      <c r="Q12" s="25" t="s">
        <v>14</v>
      </c>
      <c r="R12" s="50" t="s">
        <v>14</v>
      </c>
      <c r="S12" s="136">
        <v>2200</v>
      </c>
      <c r="T12" s="25" t="s">
        <v>1171</v>
      </c>
      <c r="U12" s="50" t="s">
        <v>30</v>
      </c>
    </row>
    <row r="13" spans="1:21" ht="12.6" customHeight="1">
      <c r="A13" s="67" t="s">
        <v>35</v>
      </c>
      <c r="B13" s="58" t="s">
        <v>966</v>
      </c>
      <c r="C13" s="36">
        <v>135</v>
      </c>
      <c r="D13" s="71">
        <v>4</v>
      </c>
      <c r="E13" s="52">
        <f t="shared" si="0"/>
        <v>216</v>
      </c>
      <c r="F13" s="36" t="s">
        <v>522</v>
      </c>
      <c r="G13" s="59">
        <v>0.49</v>
      </c>
      <c r="H13" s="40">
        <v>1.1100000000000001</v>
      </c>
      <c r="I13" s="36">
        <v>139.1</v>
      </c>
      <c r="J13" s="36">
        <v>88.5</v>
      </c>
      <c r="K13" s="71">
        <v>82</v>
      </c>
      <c r="L13" s="61">
        <f t="shared" si="3"/>
        <v>0</v>
      </c>
      <c r="M13" s="68" t="s">
        <v>14</v>
      </c>
      <c r="N13" s="61">
        <f t="shared" si="4"/>
        <v>0</v>
      </c>
      <c r="O13" s="68" t="s">
        <v>14</v>
      </c>
      <c r="P13" s="61" t="s">
        <v>14</v>
      </c>
      <c r="Q13" s="68" t="s">
        <v>14</v>
      </c>
      <c r="R13" s="52" t="s">
        <v>14</v>
      </c>
      <c r="S13" s="151">
        <v>2200</v>
      </c>
      <c r="T13" s="68" t="s">
        <v>1171</v>
      </c>
      <c r="U13" s="52" t="s">
        <v>30</v>
      </c>
    </row>
    <row r="14" spans="1:21" s="26" customFormat="1" ht="4.5" customHeight="1">
      <c r="A14" s="139" t="s">
        <v>14</v>
      </c>
      <c r="B14" s="130" t="s">
        <v>14</v>
      </c>
      <c r="C14" s="131" t="s">
        <v>14</v>
      </c>
      <c r="D14" s="131" t="s">
        <v>14</v>
      </c>
      <c r="E14" s="131" t="s">
        <v>14</v>
      </c>
      <c r="F14" s="131" t="s">
        <v>14</v>
      </c>
      <c r="G14" s="138" t="s">
        <v>14</v>
      </c>
      <c r="H14" s="134" t="s">
        <v>14</v>
      </c>
      <c r="I14" s="43" t="s">
        <v>14</v>
      </c>
      <c r="J14" s="43" t="s">
        <v>14</v>
      </c>
      <c r="K14" s="131" t="s">
        <v>14</v>
      </c>
      <c r="L14" s="43" t="s">
        <v>14</v>
      </c>
      <c r="M14" s="135" t="s">
        <v>14</v>
      </c>
      <c r="N14" s="43" t="s">
        <v>14</v>
      </c>
      <c r="O14" s="135" t="s">
        <v>14</v>
      </c>
      <c r="P14" s="43" t="s">
        <v>14</v>
      </c>
      <c r="Q14" s="135" t="s">
        <v>14</v>
      </c>
      <c r="R14" s="43" t="s">
        <v>14</v>
      </c>
      <c r="S14" s="43" t="s">
        <v>14</v>
      </c>
      <c r="T14" s="135" t="s">
        <v>14</v>
      </c>
      <c r="U14" s="43" t="s">
        <v>14</v>
      </c>
    </row>
    <row r="15" spans="1:21" ht="12.6" customHeight="1">
      <c r="A15" s="73" t="s">
        <v>35</v>
      </c>
      <c r="B15" s="46" t="s">
        <v>761</v>
      </c>
      <c r="C15" s="9">
        <v>14</v>
      </c>
      <c r="D15" s="10">
        <v>2.8</v>
      </c>
      <c r="E15" s="50">
        <f t="shared" ref="E15:E38" si="5">1.6*C15</f>
        <v>22.400000000000002</v>
      </c>
      <c r="F15" s="9" t="s">
        <v>36</v>
      </c>
      <c r="G15" s="75">
        <v>0.25</v>
      </c>
      <c r="H15" s="76">
        <v>0.56000000000000005</v>
      </c>
      <c r="I15" s="9">
        <v>89</v>
      </c>
      <c r="J15" s="9">
        <v>77</v>
      </c>
      <c r="K15" s="10" t="s">
        <v>37</v>
      </c>
      <c r="L15" s="65">
        <f>AVERAGE(890,699,800,800,712,919,795,739,850,720,770,750,950,885,723)</f>
        <v>800.13333333333333</v>
      </c>
      <c r="M15" s="25" t="s">
        <v>1171</v>
      </c>
      <c r="N15" s="65">
        <f>AVERAGE(1059,1000,1199,1129,1130,1210,1100,1255,1035)</f>
        <v>1124.1111111111111</v>
      </c>
      <c r="O15" s="25" t="s">
        <v>814</v>
      </c>
      <c r="P15" s="65">
        <v>1200</v>
      </c>
      <c r="Q15" s="25" t="s">
        <v>951</v>
      </c>
      <c r="R15" s="50" t="s">
        <v>948</v>
      </c>
      <c r="S15" s="65">
        <v>1480</v>
      </c>
      <c r="T15" s="25" t="s">
        <v>1153</v>
      </c>
      <c r="U15" s="50" t="s">
        <v>28</v>
      </c>
    </row>
    <row r="16" spans="1:21" ht="12.6" customHeight="1">
      <c r="A16" s="73" t="s">
        <v>35</v>
      </c>
      <c r="B16" s="46" t="s">
        <v>762</v>
      </c>
      <c r="C16" s="9">
        <v>14</v>
      </c>
      <c r="D16" s="10">
        <v>2.8</v>
      </c>
      <c r="E16" s="50">
        <f t="shared" si="5"/>
        <v>22.400000000000002</v>
      </c>
      <c r="F16" s="9" t="s">
        <v>36</v>
      </c>
      <c r="G16" s="75">
        <v>0.2</v>
      </c>
      <c r="H16" s="76">
        <v>0.64500000000000002</v>
      </c>
      <c r="I16" s="9">
        <v>94</v>
      </c>
      <c r="J16" s="9">
        <v>80</v>
      </c>
      <c r="K16" s="10" t="s">
        <v>37</v>
      </c>
      <c r="L16" s="65">
        <f>AVERAGE(900,1000,971,971,900,1100,1000,910,1050,1000)</f>
        <v>980.2</v>
      </c>
      <c r="M16" s="25" t="s">
        <v>1171</v>
      </c>
      <c r="N16" s="65">
        <f>AVERAGE(1099,1206,1375,1125,1500,1300,1400)</f>
        <v>1286.4285714285713</v>
      </c>
      <c r="O16" s="25" t="s">
        <v>1171</v>
      </c>
      <c r="P16" s="65">
        <v>1000</v>
      </c>
      <c r="Q16" s="25" t="s">
        <v>1153</v>
      </c>
      <c r="R16" s="50" t="s">
        <v>948</v>
      </c>
      <c r="S16" s="65">
        <v>1574</v>
      </c>
      <c r="T16" s="25" t="s">
        <v>1153</v>
      </c>
      <c r="U16" s="50" t="s">
        <v>30</v>
      </c>
    </row>
    <row r="17" spans="1:21" ht="12.6" customHeight="1">
      <c r="A17" s="73" t="s">
        <v>35</v>
      </c>
      <c r="B17" s="46" t="s">
        <v>750</v>
      </c>
      <c r="C17" s="9">
        <v>15</v>
      </c>
      <c r="D17" s="10">
        <v>2.8</v>
      </c>
      <c r="E17" s="50">
        <f t="shared" si="5"/>
        <v>24</v>
      </c>
      <c r="F17" s="9" t="s">
        <v>36</v>
      </c>
      <c r="G17" s="75">
        <v>0.2</v>
      </c>
      <c r="H17" s="76">
        <v>0.33</v>
      </c>
      <c r="I17" s="9">
        <v>62.2</v>
      </c>
      <c r="J17" s="9">
        <v>73</v>
      </c>
      <c r="K17" s="10" t="s">
        <v>37</v>
      </c>
      <c r="L17" s="65">
        <f>AVERAGE(332,355,312,299,328,270,349,350,338)</f>
        <v>325.88888888888891</v>
      </c>
      <c r="M17" s="25" t="s">
        <v>1171</v>
      </c>
      <c r="N17" s="65">
        <f>AVERAGE(499,530,531,549,519,549,571,598,571,579,530)</f>
        <v>547.81818181818187</v>
      </c>
      <c r="O17" s="25" t="s">
        <v>1171</v>
      </c>
      <c r="P17" s="65">
        <f>795*CA.US</f>
        <v>604.20000000000005</v>
      </c>
      <c r="Q17" s="25" t="s">
        <v>953</v>
      </c>
      <c r="R17" s="50" t="s">
        <v>873</v>
      </c>
      <c r="S17" s="65">
        <v>425</v>
      </c>
      <c r="T17" s="25" t="s">
        <v>1153</v>
      </c>
      <c r="U17" s="50" t="s">
        <v>26</v>
      </c>
    </row>
    <row r="18" spans="1:21" ht="12.6" customHeight="1">
      <c r="A18" s="67" t="s">
        <v>35</v>
      </c>
      <c r="B18" s="58" t="s">
        <v>764</v>
      </c>
      <c r="C18" s="36">
        <v>20</v>
      </c>
      <c r="D18" s="71">
        <v>2.8</v>
      </c>
      <c r="E18" s="36">
        <f t="shared" si="5"/>
        <v>32</v>
      </c>
      <c r="F18" s="164" t="s">
        <v>36</v>
      </c>
      <c r="G18" s="59">
        <v>0.25</v>
      </c>
      <c r="H18" s="40">
        <v>0.40500000000000003</v>
      </c>
      <c r="I18" s="36">
        <v>70.599999999999994</v>
      </c>
      <c r="J18" s="36">
        <v>77.5</v>
      </c>
      <c r="K18" s="183">
        <v>72</v>
      </c>
      <c r="L18" s="61">
        <f>AVERAGE(176,231,232,228,250,206,240,220,240,229,266,211,229)</f>
        <v>227.53846153846155</v>
      </c>
      <c r="M18" s="168" t="s">
        <v>1171</v>
      </c>
      <c r="N18" s="36">
        <f>AVERAGE(280,295,260,325,330,340,293,330,280,317,307,290)</f>
        <v>303.91666666666669</v>
      </c>
      <c r="O18" s="168" t="s">
        <v>1171</v>
      </c>
      <c r="P18" s="61">
        <v>340</v>
      </c>
      <c r="Q18" s="68" t="s">
        <v>925</v>
      </c>
      <c r="R18" s="52" t="s">
        <v>28</v>
      </c>
      <c r="S18" s="61">
        <v>390</v>
      </c>
      <c r="T18" s="68" t="s">
        <v>951</v>
      </c>
      <c r="U18" s="52" t="s">
        <v>946</v>
      </c>
    </row>
    <row r="19" spans="1:21" ht="12.6" customHeight="1">
      <c r="A19" s="73" t="s">
        <v>35</v>
      </c>
      <c r="B19" s="46" t="s">
        <v>765</v>
      </c>
      <c r="C19" s="9">
        <v>24</v>
      </c>
      <c r="D19" s="10">
        <v>1.4</v>
      </c>
      <c r="E19" s="50">
        <f t="shared" si="5"/>
        <v>38.400000000000006</v>
      </c>
      <c r="F19" s="9" t="s">
        <v>36</v>
      </c>
      <c r="G19" s="75">
        <v>0.25</v>
      </c>
      <c r="H19" s="76">
        <v>0.55000000000000004</v>
      </c>
      <c r="I19" s="9">
        <v>77.400000000000006</v>
      </c>
      <c r="J19" s="9">
        <v>83.5</v>
      </c>
      <c r="K19" s="10">
        <v>77</v>
      </c>
      <c r="L19" s="65">
        <f>AVERAGE(630,600,600,530,699,650,700,686)</f>
        <v>636.875</v>
      </c>
      <c r="M19" s="25" t="s">
        <v>1153</v>
      </c>
      <c r="N19" s="65">
        <f xml:space="preserve"> AVERAGE(760,875,820,925)</f>
        <v>845</v>
      </c>
      <c r="O19" s="118" t="s">
        <v>1118</v>
      </c>
      <c r="P19" s="65">
        <f>899*CA.US</f>
        <v>683.24</v>
      </c>
      <c r="Q19" s="25" t="s">
        <v>881</v>
      </c>
      <c r="R19" s="50" t="s">
        <v>537</v>
      </c>
      <c r="S19" s="65" t="s">
        <v>14</v>
      </c>
      <c r="T19" s="25" t="s">
        <v>14</v>
      </c>
      <c r="U19" s="50" t="s">
        <v>14</v>
      </c>
    </row>
    <row r="20" spans="1:21" ht="12.6" customHeight="1">
      <c r="A20" s="73" t="s">
        <v>35</v>
      </c>
      <c r="B20" s="46" t="s">
        <v>766</v>
      </c>
      <c r="C20" s="9">
        <v>24</v>
      </c>
      <c r="D20" s="10">
        <v>1.4</v>
      </c>
      <c r="E20" s="50">
        <f t="shared" si="5"/>
        <v>38.400000000000006</v>
      </c>
      <c r="F20" s="9" t="s">
        <v>36</v>
      </c>
      <c r="G20" s="75">
        <v>0.25</v>
      </c>
      <c r="H20" s="76">
        <v>0.65</v>
      </c>
      <c r="I20" s="9">
        <v>93.5</v>
      </c>
      <c r="J20" s="9">
        <v>86.9</v>
      </c>
      <c r="K20" s="10">
        <v>77</v>
      </c>
      <c r="L20" s="65">
        <f>AVERAGE(711,890,861,835,760,761,855,876,900,890,876,840)</f>
        <v>837.91666666666663</v>
      </c>
      <c r="M20" s="25" t="s">
        <v>1171</v>
      </c>
      <c r="N20" s="65">
        <f>AVERAGE(920,910,920,960,1039,950,985,1099,978,980,999,927,987,949)</f>
        <v>971.64285714285711</v>
      </c>
      <c r="O20" s="118" t="s">
        <v>1171</v>
      </c>
      <c r="P20" s="65">
        <v>1020</v>
      </c>
      <c r="Q20" s="25" t="s">
        <v>1153</v>
      </c>
      <c r="R20" s="50" t="s">
        <v>633</v>
      </c>
      <c r="S20" s="65">
        <f>1695*CA.US</f>
        <v>1288.2</v>
      </c>
      <c r="T20" s="25" t="s">
        <v>1153</v>
      </c>
      <c r="U20" s="50" t="s">
        <v>873</v>
      </c>
    </row>
    <row r="21" spans="1:21" ht="12.6" customHeight="1">
      <c r="A21" s="73" t="s">
        <v>35</v>
      </c>
      <c r="B21" s="46" t="s">
        <v>790</v>
      </c>
      <c r="C21" s="9">
        <v>24</v>
      </c>
      <c r="D21" s="10">
        <v>2.8</v>
      </c>
      <c r="E21" s="50">
        <f t="shared" si="5"/>
        <v>38.400000000000006</v>
      </c>
      <c r="F21" s="9" t="s">
        <v>36</v>
      </c>
      <c r="G21" s="75">
        <v>0.25</v>
      </c>
      <c r="H21" s="76">
        <v>0.27</v>
      </c>
      <c r="I21" s="9">
        <v>48.5</v>
      </c>
      <c r="J21" s="9">
        <v>67.5</v>
      </c>
      <c r="K21" s="10">
        <v>58</v>
      </c>
      <c r="L21" s="65">
        <f>AVERAGE(119,135,120,129,129,135,159,135,158,128)</f>
        <v>134.69999999999999</v>
      </c>
      <c r="M21" s="25" t="s">
        <v>1153</v>
      </c>
      <c r="N21" s="65">
        <f>AVERAGE(179,184,182,180,183,201,179,170,190,215)</f>
        <v>186.3</v>
      </c>
      <c r="O21" s="25" t="s">
        <v>1171</v>
      </c>
      <c r="P21" s="65">
        <f>225*CA.US</f>
        <v>171</v>
      </c>
      <c r="Q21" s="25" t="s">
        <v>1153</v>
      </c>
      <c r="R21" s="50" t="s">
        <v>327</v>
      </c>
      <c r="S21" s="65">
        <v>300</v>
      </c>
      <c r="T21" s="25" t="s">
        <v>723</v>
      </c>
      <c r="U21" s="50" t="s">
        <v>28</v>
      </c>
    </row>
    <row r="22" spans="1:21" ht="12.6" customHeight="1">
      <c r="A22" s="73" t="s">
        <v>35</v>
      </c>
      <c r="B22" s="46" t="s">
        <v>493</v>
      </c>
      <c r="C22" s="9">
        <v>24</v>
      </c>
      <c r="D22" s="10">
        <v>2.8</v>
      </c>
      <c r="E22" s="50">
        <f t="shared" si="5"/>
        <v>38.400000000000006</v>
      </c>
      <c r="F22" s="9" t="s">
        <v>36</v>
      </c>
      <c r="G22" s="75">
        <v>0.2</v>
      </c>
      <c r="H22" s="76">
        <v>0.28100000000000003</v>
      </c>
      <c r="I22" s="9">
        <v>55.6</v>
      </c>
      <c r="J22" s="9">
        <v>68.3</v>
      </c>
      <c r="K22" s="10">
        <v>58</v>
      </c>
      <c r="L22" s="65">
        <f>AVERAGE(308,359,339,320,370,349,360,317,322,375,375)</f>
        <v>344.90909090909093</v>
      </c>
      <c r="M22" s="25" t="s">
        <v>1171</v>
      </c>
      <c r="N22" s="65">
        <f>AVERAGE(340,400,417,419,400,429,398,400)</f>
        <v>400.375</v>
      </c>
      <c r="O22" s="25" t="s">
        <v>1118</v>
      </c>
      <c r="P22" s="65">
        <f>649*CA.US</f>
        <v>493.24</v>
      </c>
      <c r="Q22" s="25" t="s">
        <v>892</v>
      </c>
      <c r="R22" s="50" t="s">
        <v>537</v>
      </c>
      <c r="S22" s="65">
        <f>550*CA.US</f>
        <v>418</v>
      </c>
      <c r="T22" s="25" t="s">
        <v>874</v>
      </c>
      <c r="U22" s="50" t="s">
        <v>873</v>
      </c>
    </row>
    <row r="23" spans="1:21" ht="12.6" customHeight="1">
      <c r="A23" s="73" t="s">
        <v>35</v>
      </c>
      <c r="B23" s="46" t="s">
        <v>768</v>
      </c>
      <c r="C23" s="9">
        <v>28</v>
      </c>
      <c r="D23" s="10">
        <v>1.8</v>
      </c>
      <c r="E23" s="50">
        <f t="shared" si="5"/>
        <v>44.800000000000004</v>
      </c>
      <c r="F23" s="9" t="s">
        <v>36</v>
      </c>
      <c r="G23" s="75">
        <v>0.25</v>
      </c>
      <c r="H23" s="76">
        <v>0.31</v>
      </c>
      <c r="I23" s="9">
        <v>55.6</v>
      </c>
      <c r="J23" s="9">
        <v>73.599999999999994</v>
      </c>
      <c r="K23" s="10">
        <v>58</v>
      </c>
      <c r="L23" s="65">
        <f>AVERAGE(247,265,255,250,249,236,250,169,269,225,258)</f>
        <v>243</v>
      </c>
      <c r="M23" s="25" t="s">
        <v>1153</v>
      </c>
      <c r="N23" s="65">
        <f>AVERAGE(299,263,300,330,330,340,286,365,285,291,300)</f>
        <v>308.09090909090907</v>
      </c>
      <c r="O23" s="25" t="s">
        <v>1171</v>
      </c>
      <c r="P23" s="65">
        <v>350</v>
      </c>
      <c r="Q23" s="25" t="s">
        <v>1153</v>
      </c>
      <c r="R23" s="50" t="s">
        <v>633</v>
      </c>
      <c r="S23" s="65">
        <f>547*CA.US</f>
        <v>415.72</v>
      </c>
      <c r="T23" s="25" t="s">
        <v>1002</v>
      </c>
      <c r="U23" s="50" t="s">
        <v>327</v>
      </c>
    </row>
    <row r="24" spans="1:21" ht="12.6" customHeight="1">
      <c r="A24" s="73" t="s">
        <v>35</v>
      </c>
      <c r="B24" s="46" t="s">
        <v>791</v>
      </c>
      <c r="C24" s="9">
        <v>28</v>
      </c>
      <c r="D24" s="10">
        <v>2.8</v>
      </c>
      <c r="E24" s="50">
        <f t="shared" si="5"/>
        <v>44.800000000000004</v>
      </c>
      <c r="F24" s="9" t="s">
        <v>36</v>
      </c>
      <c r="G24" s="75">
        <v>0.3</v>
      </c>
      <c r="H24" s="76">
        <v>0.185</v>
      </c>
      <c r="I24" s="9">
        <v>42.5</v>
      </c>
      <c r="J24" s="9">
        <v>67.400000000000006</v>
      </c>
      <c r="K24" s="10">
        <v>52</v>
      </c>
      <c r="L24" s="65">
        <f>AVERAGE(99,115,100,110,103,130,125,119,115,103,100,120)</f>
        <v>111.58333333333333</v>
      </c>
      <c r="M24" s="25" t="s">
        <v>1153</v>
      </c>
      <c r="N24" s="65">
        <f>AVERAGE(170,160,143,150,150,162,140,164,123,150,193,175)</f>
        <v>156.66666666666666</v>
      </c>
      <c r="O24" s="25" t="s">
        <v>1153</v>
      </c>
      <c r="P24" s="65">
        <v>180</v>
      </c>
      <c r="Q24" s="25" t="s">
        <v>1061</v>
      </c>
      <c r="R24" s="50" t="s">
        <v>30</v>
      </c>
      <c r="S24" s="65">
        <f>185*CA.US</f>
        <v>140.6</v>
      </c>
      <c r="T24" s="25" t="s">
        <v>1061</v>
      </c>
      <c r="U24" s="50" t="s">
        <v>327</v>
      </c>
    </row>
    <row r="25" spans="1:21" ht="12.6" customHeight="1">
      <c r="A25" s="73" t="s">
        <v>35</v>
      </c>
      <c r="B25" s="46" t="s">
        <v>494</v>
      </c>
      <c r="C25" s="9">
        <v>28</v>
      </c>
      <c r="D25" s="10">
        <v>2.8</v>
      </c>
      <c r="E25" s="50">
        <f t="shared" si="5"/>
        <v>44.800000000000004</v>
      </c>
      <c r="F25" s="9" t="s">
        <v>36</v>
      </c>
      <c r="G25" s="75">
        <v>0.23</v>
      </c>
      <c r="H25" s="76">
        <v>0.26100000000000001</v>
      </c>
      <c r="I25" s="9">
        <v>51.3</v>
      </c>
      <c r="J25" s="9">
        <v>68.3</v>
      </c>
      <c r="K25" s="10">
        <v>58</v>
      </c>
      <c r="L25" s="65">
        <f>AVERAGE(265,255,265,305,285,280,345,291,305,299)</f>
        <v>289.5</v>
      </c>
      <c r="M25" s="25" t="s">
        <v>1171</v>
      </c>
      <c r="N25" s="65">
        <f>AVERAGE(340,377,350,380,369,369,400,370,448,470)</f>
        <v>387.3</v>
      </c>
      <c r="O25" s="25" t="s">
        <v>1153</v>
      </c>
      <c r="P25" s="65">
        <v>370</v>
      </c>
      <c r="Q25" s="25" t="s">
        <v>1153</v>
      </c>
      <c r="R25" s="50" t="s">
        <v>633</v>
      </c>
      <c r="S25" s="65">
        <v>462</v>
      </c>
      <c r="T25" s="25" t="s">
        <v>1061</v>
      </c>
      <c r="U25" s="50" t="s">
        <v>30</v>
      </c>
    </row>
    <row r="26" spans="1:21" ht="12.6" customHeight="1">
      <c r="A26" s="73" t="s">
        <v>35</v>
      </c>
      <c r="B26" s="46" t="s">
        <v>769</v>
      </c>
      <c r="C26" s="9">
        <v>35</v>
      </c>
      <c r="D26" s="10">
        <v>1.4</v>
      </c>
      <c r="E26" s="50">
        <f t="shared" si="5"/>
        <v>56</v>
      </c>
      <c r="F26" s="9" t="s">
        <v>36</v>
      </c>
      <c r="G26" s="75">
        <v>0.3</v>
      </c>
      <c r="H26" s="76">
        <v>0.57999999999999996</v>
      </c>
      <c r="I26" s="9">
        <v>86</v>
      </c>
      <c r="J26" s="9">
        <v>79</v>
      </c>
      <c r="K26" s="10">
        <v>72</v>
      </c>
      <c r="L26" s="65">
        <f>AVERAGE(699,709,827,811,720,715,680,660,775,664)</f>
        <v>726</v>
      </c>
      <c r="M26" s="25" t="s">
        <v>1171</v>
      </c>
      <c r="N26" s="65">
        <f>AVERAGE(795,998,879,831,875,800,794,848,855,900,819,855)</f>
        <v>854.08333333333337</v>
      </c>
      <c r="O26" s="25" t="s">
        <v>1171</v>
      </c>
      <c r="P26" s="65">
        <f>999*CA.US</f>
        <v>759.24</v>
      </c>
      <c r="Q26" s="25" t="s">
        <v>1153</v>
      </c>
      <c r="R26" s="50" t="s">
        <v>537</v>
      </c>
      <c r="S26" s="65">
        <v>725</v>
      </c>
      <c r="T26" s="25" t="s">
        <v>944</v>
      </c>
      <c r="U26" s="50" t="s">
        <v>26</v>
      </c>
    </row>
    <row r="27" spans="1:21" ht="12.6" customHeight="1">
      <c r="A27" s="73" t="s">
        <v>35</v>
      </c>
      <c r="B27" s="46" t="s">
        <v>770</v>
      </c>
      <c r="C27" s="9">
        <v>35</v>
      </c>
      <c r="D27" s="10">
        <v>1.4</v>
      </c>
      <c r="E27" s="50">
        <f t="shared" si="5"/>
        <v>56</v>
      </c>
      <c r="F27" s="9" t="s">
        <v>36</v>
      </c>
      <c r="G27" s="75">
        <v>0.28000000000000003</v>
      </c>
      <c r="H27" s="76">
        <v>0.76</v>
      </c>
      <c r="I27" s="9">
        <v>105.5</v>
      </c>
      <c r="J27" s="9">
        <v>80.400000000000006</v>
      </c>
      <c r="K27" s="10">
        <v>72</v>
      </c>
      <c r="L27" s="65">
        <f>AVERAGE(1299,1275,1300,1314,1225)</f>
        <v>1282.5999999999999</v>
      </c>
      <c r="M27" s="25" t="s">
        <v>1153</v>
      </c>
      <c r="N27" s="65">
        <f>AVERAGE(1400,1437,1440,1449,1599,1425,1550,1420)</f>
        <v>1465</v>
      </c>
      <c r="O27" s="25" t="s">
        <v>1171</v>
      </c>
      <c r="P27" s="65" t="s">
        <v>14</v>
      </c>
      <c r="Q27" s="25" t="s">
        <v>14</v>
      </c>
      <c r="R27" s="50" t="s">
        <v>14</v>
      </c>
      <c r="S27" s="65">
        <v>1800</v>
      </c>
      <c r="T27" s="25" t="s">
        <v>699</v>
      </c>
      <c r="U27" s="50" t="s">
        <v>30</v>
      </c>
    </row>
    <row r="28" spans="1:21" ht="12.6" customHeight="1">
      <c r="A28" s="73" t="s">
        <v>35</v>
      </c>
      <c r="B28" s="46" t="s">
        <v>265</v>
      </c>
      <c r="C28" s="9">
        <v>35</v>
      </c>
      <c r="D28" s="10">
        <v>2</v>
      </c>
      <c r="E28" s="50">
        <f t="shared" si="5"/>
        <v>56</v>
      </c>
      <c r="F28" s="9" t="s">
        <v>36</v>
      </c>
      <c r="G28" s="75">
        <v>0.25</v>
      </c>
      <c r="H28" s="76">
        <v>0.21</v>
      </c>
      <c r="I28" s="9">
        <v>42.5</v>
      </c>
      <c r="J28" s="9">
        <v>67.400000000000006</v>
      </c>
      <c r="K28" s="10">
        <v>52</v>
      </c>
      <c r="L28" s="65">
        <f>AVERAGE(198,170,175,175,180,164,131,160,152,153,194)</f>
        <v>168.36363636363637</v>
      </c>
      <c r="M28" s="25" t="s">
        <v>1171</v>
      </c>
      <c r="N28" s="65">
        <f>AVERAGE(235,250,208,235,225,219,245,228,283,260,236,255,259,246)</f>
        <v>241.71428571428572</v>
      </c>
      <c r="O28" s="25" t="s">
        <v>1171</v>
      </c>
      <c r="P28" s="65">
        <v>339</v>
      </c>
      <c r="Q28" s="25" t="s">
        <v>925</v>
      </c>
      <c r="R28" s="50" t="s">
        <v>28</v>
      </c>
      <c r="S28" s="65">
        <f>325*CA.US</f>
        <v>247</v>
      </c>
      <c r="T28" s="25" t="s">
        <v>1153</v>
      </c>
      <c r="U28" s="50" t="s">
        <v>327</v>
      </c>
    </row>
    <row r="29" spans="1:21" ht="12.6" customHeight="1">
      <c r="A29" s="67" t="s">
        <v>35</v>
      </c>
      <c r="B29" s="58" t="s">
        <v>509</v>
      </c>
      <c r="C29" s="36">
        <v>35</v>
      </c>
      <c r="D29" s="71">
        <v>2</v>
      </c>
      <c r="E29" s="52">
        <f t="shared" si="5"/>
        <v>56</v>
      </c>
      <c r="F29" s="36" t="s">
        <v>36</v>
      </c>
      <c r="G29" s="59">
        <v>0.24</v>
      </c>
      <c r="H29" s="40">
        <v>0.33500000000000002</v>
      </c>
      <c r="I29" s="36">
        <v>63.5</v>
      </c>
      <c r="J29" s="36">
        <v>78.7</v>
      </c>
      <c r="K29" s="71">
        <v>67</v>
      </c>
      <c r="L29" s="61">
        <f>AVERAGE(400,405,350,320,390,361,420,381,399,410,400,400,400)</f>
        <v>387.38461538461536</v>
      </c>
      <c r="M29" s="168" t="s">
        <v>1171</v>
      </c>
      <c r="N29" s="61">
        <f>AVERAGE(450,440,425,456,479,450,485,483,500,470,495,487)</f>
        <v>468.33333333333331</v>
      </c>
      <c r="O29" s="168" t="s">
        <v>1091</v>
      </c>
      <c r="P29" s="61" t="s">
        <v>14</v>
      </c>
      <c r="Q29" s="68" t="s">
        <v>14</v>
      </c>
      <c r="R29" s="52" t="s">
        <v>14</v>
      </c>
      <c r="S29" s="151">
        <v>487</v>
      </c>
      <c r="T29" s="68" t="s">
        <v>925</v>
      </c>
      <c r="U29" s="52" t="s">
        <v>28</v>
      </c>
    </row>
    <row r="30" spans="1:21" ht="12.6" customHeight="1">
      <c r="A30" s="73" t="s">
        <v>35</v>
      </c>
      <c r="B30" s="46" t="s">
        <v>495</v>
      </c>
      <c r="C30" s="9">
        <v>40</v>
      </c>
      <c r="D30" s="10">
        <v>2.8</v>
      </c>
      <c r="E30" s="50">
        <f t="shared" si="5"/>
        <v>64</v>
      </c>
      <c r="F30" s="9" t="s">
        <v>36</v>
      </c>
      <c r="G30" s="75">
        <v>0.3</v>
      </c>
      <c r="H30" s="76">
        <v>0.13</v>
      </c>
      <c r="I30" s="9">
        <v>22.9</v>
      </c>
      <c r="J30" s="9">
        <v>68.599999999999994</v>
      </c>
      <c r="K30" s="10">
        <v>52</v>
      </c>
      <c r="L30" s="65">
        <f>AVERAGE(85,78,100,103,80,87,80,105,106,103,106,104)</f>
        <v>94.75</v>
      </c>
      <c r="M30" s="25" t="s">
        <v>1153</v>
      </c>
      <c r="N30" s="65">
        <f>AVERAGE(130,120,120,119,122,104,105,100,110,123)</f>
        <v>115.3</v>
      </c>
      <c r="O30" s="25" t="s">
        <v>1171</v>
      </c>
      <c r="P30" s="65">
        <v>110</v>
      </c>
      <c r="Q30" s="25" t="s">
        <v>1153</v>
      </c>
      <c r="R30" s="50" t="s">
        <v>948</v>
      </c>
      <c r="S30" s="65">
        <v>110</v>
      </c>
      <c r="T30" s="25" t="s">
        <v>944</v>
      </c>
      <c r="U30" s="50" t="s">
        <v>26</v>
      </c>
    </row>
    <row r="31" spans="1:21" ht="12.6" customHeight="1">
      <c r="A31" s="73" t="s">
        <v>35</v>
      </c>
      <c r="B31" s="46" t="s">
        <v>772</v>
      </c>
      <c r="C31" s="9">
        <v>50</v>
      </c>
      <c r="D31" s="10">
        <v>1</v>
      </c>
      <c r="E31" s="50">
        <f t="shared" si="5"/>
        <v>80</v>
      </c>
      <c r="F31" s="9" t="s">
        <v>36</v>
      </c>
      <c r="G31" s="75">
        <v>0.6</v>
      </c>
      <c r="H31" s="76">
        <v>0.98499999999999999</v>
      </c>
      <c r="I31" s="9">
        <v>81.5</v>
      </c>
      <c r="J31" s="9">
        <v>91.5</v>
      </c>
      <c r="K31" s="10">
        <v>72</v>
      </c>
      <c r="L31" s="65">
        <f>AVERAGE(2900,2700,3500,3150,3500,3450,3699)</f>
        <v>3271.2857142857142</v>
      </c>
      <c r="M31" s="118" t="s">
        <v>1110</v>
      </c>
      <c r="N31" s="65">
        <f>AVERAGE(4-39,3998,4499,3998,4550,3998,4282,4399,4500,4500)</f>
        <v>3868.9</v>
      </c>
      <c r="O31" s="25" t="s">
        <v>1153</v>
      </c>
      <c r="P31" s="65">
        <v>4799</v>
      </c>
      <c r="Q31" s="25" t="s">
        <v>1153</v>
      </c>
      <c r="R31" s="50" t="s">
        <v>28</v>
      </c>
      <c r="S31" s="65">
        <v>4200</v>
      </c>
      <c r="T31" s="25" t="s">
        <v>542</v>
      </c>
      <c r="U31" s="50" t="s">
        <v>337</v>
      </c>
    </row>
    <row r="32" spans="1:21" ht="12.6" customHeight="1">
      <c r="A32" s="73" t="s">
        <v>35</v>
      </c>
      <c r="B32" s="46" t="s">
        <v>161</v>
      </c>
      <c r="C32" s="9">
        <v>50</v>
      </c>
      <c r="D32" s="10">
        <v>1.2</v>
      </c>
      <c r="E32" s="50">
        <f t="shared" si="5"/>
        <v>80</v>
      </c>
      <c r="F32" s="9" t="s">
        <v>36</v>
      </c>
      <c r="G32" s="75">
        <v>0.45</v>
      </c>
      <c r="H32" s="76">
        <v>0.54500000000000004</v>
      </c>
      <c r="I32" s="9">
        <v>65</v>
      </c>
      <c r="J32" s="9">
        <v>85</v>
      </c>
      <c r="K32" s="10">
        <v>72</v>
      </c>
      <c r="L32" s="65">
        <f>AVERAGE(900,855,899,945,909,900,810,940,920,961,863,868)</f>
        <v>897.5</v>
      </c>
      <c r="M32" s="25" t="s">
        <v>1153</v>
      </c>
      <c r="N32" s="65">
        <f>AVERAGE(1050,990,960,1050,1000,940,1150,1079,1050,1025,1100,976,1150,1150)</f>
        <v>1047.8571428571429</v>
      </c>
      <c r="O32" s="25" t="s">
        <v>1171</v>
      </c>
      <c r="P32" s="65">
        <v>980</v>
      </c>
      <c r="Q32" s="25" t="s">
        <v>1153</v>
      </c>
      <c r="R32" s="50" t="s">
        <v>633</v>
      </c>
      <c r="S32" s="65">
        <v>1170</v>
      </c>
      <c r="T32" s="25" t="s">
        <v>1153</v>
      </c>
      <c r="U32" s="50" t="s">
        <v>28</v>
      </c>
    </row>
    <row r="33" spans="1:21" ht="12.6" customHeight="1">
      <c r="A33" s="73" t="s">
        <v>35</v>
      </c>
      <c r="B33" s="46" t="s">
        <v>773</v>
      </c>
      <c r="C33" s="9">
        <v>50</v>
      </c>
      <c r="D33" s="10">
        <v>1.4</v>
      </c>
      <c r="E33" s="50">
        <f t="shared" ref="E33" si="6">1.6*C33</f>
        <v>80</v>
      </c>
      <c r="F33" s="9" t="s">
        <v>36</v>
      </c>
      <c r="G33" s="75">
        <v>0.45</v>
      </c>
      <c r="H33" s="76">
        <v>0.28999999999999998</v>
      </c>
      <c r="I33" s="9">
        <v>51</v>
      </c>
      <c r="J33" s="9">
        <v>73.8</v>
      </c>
      <c r="K33" s="10">
        <v>58</v>
      </c>
      <c r="L33" s="65">
        <f>AVERAGE(177,165,189,166,179,158,195,211,201,190,181,189)</f>
        <v>183.41666666666666</v>
      </c>
      <c r="M33" s="118" t="s">
        <v>1171</v>
      </c>
      <c r="N33" s="65">
        <f>AVERAGE(225,250,225,221,250,230,225,235,230,250)</f>
        <v>234.1</v>
      </c>
      <c r="O33" s="25" t="s">
        <v>1171</v>
      </c>
      <c r="P33" s="65">
        <v>240</v>
      </c>
      <c r="Q33" s="25" t="s">
        <v>1153</v>
      </c>
      <c r="R33" s="50" t="s">
        <v>633</v>
      </c>
      <c r="S33" s="65">
        <f>350*CA.US</f>
        <v>266</v>
      </c>
      <c r="T33" s="25" t="s">
        <v>1153</v>
      </c>
      <c r="U33" s="50" t="s">
        <v>873</v>
      </c>
    </row>
    <row r="34" spans="1:21" ht="12.6" customHeight="1">
      <c r="A34" s="73" t="s">
        <v>35</v>
      </c>
      <c r="B34" s="46" t="s">
        <v>971</v>
      </c>
      <c r="C34" s="9">
        <v>50</v>
      </c>
      <c r="D34" s="10">
        <v>1.4</v>
      </c>
      <c r="E34" s="50">
        <f t="shared" si="5"/>
        <v>80</v>
      </c>
      <c r="F34" s="9" t="s">
        <v>36</v>
      </c>
      <c r="G34" s="75" t="s">
        <v>14</v>
      </c>
      <c r="H34" s="76" t="s">
        <v>14</v>
      </c>
      <c r="I34" s="9" t="s">
        <v>14</v>
      </c>
      <c r="J34" s="9" t="s">
        <v>14</v>
      </c>
      <c r="K34" s="10" t="s">
        <v>14</v>
      </c>
      <c r="L34" s="65">
        <f t="shared" ref="L34" si="7">AVERAGE(0)</f>
        <v>0</v>
      </c>
      <c r="M34" s="118" t="s">
        <v>14</v>
      </c>
      <c r="N34" s="65">
        <f t="shared" ref="N34" si="8">AVERAGE(0)</f>
        <v>0</v>
      </c>
      <c r="O34" s="25" t="s">
        <v>14</v>
      </c>
      <c r="P34" s="65" t="s">
        <v>14</v>
      </c>
      <c r="Q34" s="25" t="s">
        <v>14</v>
      </c>
      <c r="R34" s="50" t="s">
        <v>14</v>
      </c>
      <c r="S34" s="65" t="s">
        <v>14</v>
      </c>
      <c r="T34" s="25" t="s">
        <v>14</v>
      </c>
      <c r="U34" s="50" t="s">
        <v>14</v>
      </c>
    </row>
    <row r="35" spans="1:21" ht="12.6" customHeight="1">
      <c r="A35" s="73" t="s">
        <v>35</v>
      </c>
      <c r="B35" s="46" t="s">
        <v>792</v>
      </c>
      <c r="C35" s="9">
        <v>50</v>
      </c>
      <c r="D35" s="10">
        <v>1.8</v>
      </c>
      <c r="E35" s="50">
        <f t="shared" si="5"/>
        <v>80</v>
      </c>
      <c r="F35" s="9" t="s">
        <v>36</v>
      </c>
      <c r="G35" s="75">
        <v>0.45</v>
      </c>
      <c r="H35" s="76">
        <v>0.19</v>
      </c>
      <c r="I35" s="9">
        <v>42.5</v>
      </c>
      <c r="J35" s="9">
        <v>67.400000000000006</v>
      </c>
      <c r="K35" s="10">
        <v>52</v>
      </c>
      <c r="L35" s="65">
        <f>AVERAGE(93,90,90,110,110,109,110,86,96,108)</f>
        <v>100.2</v>
      </c>
      <c r="M35" s="118" t="s">
        <v>1171</v>
      </c>
      <c r="N35" s="65">
        <f>AVERAGE(120,95,136,120,140,150,168,145,131,159,158,145)</f>
        <v>138.91666666666666</v>
      </c>
      <c r="O35" s="25" t="s">
        <v>1171</v>
      </c>
      <c r="P35" s="65">
        <v>159</v>
      </c>
      <c r="Q35" s="25" t="s">
        <v>925</v>
      </c>
      <c r="R35" s="50" t="s">
        <v>28</v>
      </c>
      <c r="S35" s="65">
        <v>125</v>
      </c>
      <c r="T35" s="25" t="s">
        <v>925</v>
      </c>
      <c r="U35" s="50" t="s">
        <v>27</v>
      </c>
    </row>
    <row r="36" spans="1:21" s="26" customFormat="1" ht="12.6" customHeight="1">
      <c r="A36" s="73" t="s">
        <v>35</v>
      </c>
      <c r="B36" s="46" t="s">
        <v>774</v>
      </c>
      <c r="C36" s="9">
        <v>50</v>
      </c>
      <c r="D36" s="10">
        <v>1.8</v>
      </c>
      <c r="E36" s="50">
        <f t="shared" si="5"/>
        <v>80</v>
      </c>
      <c r="F36" s="9" t="s">
        <v>36</v>
      </c>
      <c r="G36" s="75">
        <v>0.45</v>
      </c>
      <c r="H36" s="76">
        <v>0.15</v>
      </c>
      <c r="I36" s="9">
        <v>41</v>
      </c>
      <c r="J36" s="9">
        <v>68.2</v>
      </c>
      <c r="K36" s="10">
        <v>52</v>
      </c>
      <c r="L36" s="65">
        <f>AVERAGE(57,70,62,58,51,50,66,61,63,66)</f>
        <v>60.4</v>
      </c>
      <c r="M36" s="118" t="s">
        <v>1153</v>
      </c>
      <c r="N36" s="65">
        <f>AVERAGE(89,70,114,103,104,105,80,74,80,120,104,118,108,108)</f>
        <v>98.357142857142861</v>
      </c>
      <c r="O36" s="25" t="s">
        <v>1153</v>
      </c>
      <c r="P36" s="65">
        <v>84</v>
      </c>
      <c r="Q36" s="25" t="s">
        <v>925</v>
      </c>
      <c r="R36" s="50" t="s">
        <v>28</v>
      </c>
      <c r="S36" s="65">
        <v>85</v>
      </c>
      <c r="T36" s="25" t="s">
        <v>892</v>
      </c>
      <c r="U36" s="50" t="s">
        <v>27</v>
      </c>
    </row>
    <row r="37" spans="1:21" s="26" customFormat="1" ht="12.6" customHeight="1">
      <c r="A37" s="73" t="s">
        <v>35</v>
      </c>
      <c r="B37" s="46" t="s">
        <v>752</v>
      </c>
      <c r="C37" s="9">
        <v>50</v>
      </c>
      <c r="D37" s="10">
        <v>1.8</v>
      </c>
      <c r="E37" s="50">
        <f t="shared" si="5"/>
        <v>80</v>
      </c>
      <c r="F37" s="9" t="s">
        <v>36</v>
      </c>
      <c r="G37" s="75">
        <v>0.36</v>
      </c>
      <c r="H37" s="76">
        <v>0.16200000000000001</v>
      </c>
      <c r="I37" s="9">
        <v>40.6</v>
      </c>
      <c r="J37" s="9">
        <v>68.599999999999994</v>
      </c>
      <c r="K37" s="10">
        <v>49</v>
      </c>
      <c r="L37" s="65">
        <f>AVERAGE(80,76,98,100,100,92,94,99,92)</f>
        <v>92.333333333333329</v>
      </c>
      <c r="M37" s="118" t="s">
        <v>1153</v>
      </c>
      <c r="N37" s="65">
        <f>AVERAGE(95,105,110,103,110,109,105,102)</f>
        <v>104.875</v>
      </c>
      <c r="O37" s="25" t="s">
        <v>1153</v>
      </c>
      <c r="P37" s="65">
        <v>105</v>
      </c>
      <c r="Q37" s="25" t="s">
        <v>918</v>
      </c>
      <c r="R37" s="50" t="s">
        <v>28</v>
      </c>
      <c r="S37" s="136">
        <v>118</v>
      </c>
      <c r="T37" s="25" t="s">
        <v>708</v>
      </c>
      <c r="U37" s="50" t="s">
        <v>28</v>
      </c>
    </row>
    <row r="38" spans="1:21" ht="12.6" customHeight="1">
      <c r="A38" s="73" t="s">
        <v>35</v>
      </c>
      <c r="B38" s="46" t="s">
        <v>775</v>
      </c>
      <c r="C38" s="9">
        <v>50</v>
      </c>
      <c r="D38" s="10">
        <v>2.5</v>
      </c>
      <c r="E38" s="50">
        <f t="shared" si="5"/>
        <v>80</v>
      </c>
      <c r="F38" s="9" t="s">
        <v>36</v>
      </c>
      <c r="G38" s="75">
        <v>0.23</v>
      </c>
      <c r="H38" s="76">
        <v>0.28000000000000003</v>
      </c>
      <c r="I38" s="9">
        <v>63</v>
      </c>
      <c r="J38" s="9">
        <v>67.599999999999994</v>
      </c>
      <c r="K38" s="10">
        <v>52</v>
      </c>
      <c r="L38" s="65">
        <f>AVERAGE(139,128,100,150,113,149,139,139,137,139,134,135)</f>
        <v>133.5</v>
      </c>
      <c r="M38" s="118" t="s">
        <v>1153</v>
      </c>
      <c r="N38" s="65">
        <f>AVERAGE(185,156,194,179,200,198,175,163,215,183,171,190)</f>
        <v>184.08333333333334</v>
      </c>
      <c r="O38" s="25" t="s">
        <v>1153</v>
      </c>
      <c r="P38" s="65">
        <v>220</v>
      </c>
      <c r="Q38" s="25" t="s">
        <v>918</v>
      </c>
      <c r="R38" s="50" t="s">
        <v>28</v>
      </c>
      <c r="S38" s="65">
        <v>275</v>
      </c>
      <c r="T38" s="25" t="s">
        <v>892</v>
      </c>
      <c r="U38" s="50" t="s">
        <v>456</v>
      </c>
    </row>
    <row r="39" spans="1:21" ht="12.6" customHeight="1">
      <c r="A39" s="73" t="s">
        <v>35</v>
      </c>
      <c r="B39" s="46" t="s">
        <v>1060</v>
      </c>
      <c r="C39" s="9" t="s">
        <v>29</v>
      </c>
      <c r="D39" s="10" t="s">
        <v>29</v>
      </c>
      <c r="E39" s="50" t="s">
        <v>29</v>
      </c>
      <c r="F39" s="9" t="s">
        <v>36</v>
      </c>
      <c r="G39" s="75" t="s">
        <v>29</v>
      </c>
      <c r="H39" s="76">
        <v>0.16</v>
      </c>
      <c r="I39" s="9">
        <v>34.9</v>
      </c>
      <c r="J39" s="9">
        <v>67.599999999999994</v>
      </c>
      <c r="K39" s="10" t="s">
        <v>29</v>
      </c>
      <c r="L39" s="65">
        <f>AVERAGE(61,50,88,61,69)</f>
        <v>65.8</v>
      </c>
      <c r="M39" s="118" t="s">
        <v>1171</v>
      </c>
      <c r="N39" s="65">
        <f>AVERAGE(140,104,131,102,109,109,120)</f>
        <v>116.42857142857143</v>
      </c>
      <c r="O39" s="25" t="s">
        <v>1171</v>
      </c>
      <c r="P39" s="65">
        <v>238</v>
      </c>
      <c r="Q39" s="25" t="s">
        <v>925</v>
      </c>
      <c r="R39" s="50" t="s">
        <v>28</v>
      </c>
      <c r="S39" s="65" t="s">
        <v>14</v>
      </c>
      <c r="T39" s="25" t="s">
        <v>14</v>
      </c>
      <c r="U39" s="50" t="s">
        <v>14</v>
      </c>
    </row>
    <row r="40" spans="1:21" ht="12.6" customHeight="1">
      <c r="A40" s="67" t="s">
        <v>35</v>
      </c>
      <c r="B40" s="58" t="s">
        <v>878</v>
      </c>
      <c r="C40" s="36">
        <v>65</v>
      </c>
      <c r="D40" s="71">
        <v>2.8</v>
      </c>
      <c r="E40" s="52">
        <f t="shared" ref="E40:E75" si="9">1.6*C40</f>
        <v>104</v>
      </c>
      <c r="F40" s="36" t="s">
        <v>522</v>
      </c>
      <c r="G40" s="59">
        <v>0.24</v>
      </c>
      <c r="H40" s="40">
        <v>0.73</v>
      </c>
      <c r="I40" s="36">
        <v>98</v>
      </c>
      <c r="J40" s="36">
        <v>61</v>
      </c>
      <c r="K40" s="71">
        <v>58</v>
      </c>
      <c r="L40" s="61">
        <f>AVERAGE(565,660,620,646,680,700,600,624,613,622,698,700)</f>
        <v>644</v>
      </c>
      <c r="M40" s="168" t="s">
        <v>1171</v>
      </c>
      <c r="N40" s="61">
        <f>AVERAGE(710,710,716,800,750,783,858,770,783,785,799)</f>
        <v>769.4545454545455</v>
      </c>
      <c r="O40" s="68" t="s">
        <v>1153</v>
      </c>
      <c r="P40" s="61">
        <f>995*CA.US</f>
        <v>756.2</v>
      </c>
      <c r="Q40" s="68" t="s">
        <v>1153</v>
      </c>
      <c r="R40" s="52" t="s">
        <v>873</v>
      </c>
      <c r="S40" s="61">
        <v>865</v>
      </c>
      <c r="T40" s="68" t="s">
        <v>954</v>
      </c>
      <c r="U40" s="52" t="s">
        <v>946</v>
      </c>
    </row>
    <row r="41" spans="1:21" ht="12.6" customHeight="1">
      <c r="A41" s="73" t="s">
        <v>35</v>
      </c>
      <c r="B41" s="46" t="s">
        <v>776</v>
      </c>
      <c r="C41" s="9">
        <v>85</v>
      </c>
      <c r="D41" s="10">
        <v>1.2</v>
      </c>
      <c r="E41" s="50">
        <f t="shared" si="9"/>
        <v>136</v>
      </c>
      <c r="F41" s="9" t="s">
        <v>36</v>
      </c>
      <c r="G41" s="75">
        <v>0.95</v>
      </c>
      <c r="H41" s="76">
        <v>1.0249999999999999</v>
      </c>
      <c r="I41" s="9">
        <v>84</v>
      </c>
      <c r="J41" s="9">
        <v>91.5</v>
      </c>
      <c r="K41" s="10">
        <v>72</v>
      </c>
      <c r="L41" s="65">
        <f>AVERAGE(700,727,840,679,950,1100,1148,1030,989,988,900,965)</f>
        <v>918</v>
      </c>
      <c r="M41" s="25" t="s">
        <v>1171</v>
      </c>
      <c r="N41" s="65">
        <f>AVERAGE(1075,1310,1200,1195,1285,1103)</f>
        <v>1194.6666666666667</v>
      </c>
      <c r="O41" s="118" t="s">
        <v>1153</v>
      </c>
      <c r="P41" s="65">
        <v>1120</v>
      </c>
      <c r="Q41" s="25" t="s">
        <v>1153</v>
      </c>
      <c r="R41" s="50" t="s">
        <v>28</v>
      </c>
      <c r="S41" s="65">
        <v>1300</v>
      </c>
      <c r="T41" s="25" t="s">
        <v>1153</v>
      </c>
      <c r="U41" s="50" t="s">
        <v>28</v>
      </c>
    </row>
    <row r="42" spans="1:21" ht="12.6" customHeight="1">
      <c r="A42" s="73" t="s">
        <v>35</v>
      </c>
      <c r="B42" s="46" t="s">
        <v>777</v>
      </c>
      <c r="C42" s="9">
        <v>85</v>
      </c>
      <c r="D42" s="10">
        <v>1.2</v>
      </c>
      <c r="E42" s="50">
        <f t="shared" si="9"/>
        <v>136</v>
      </c>
      <c r="F42" s="9" t="s">
        <v>36</v>
      </c>
      <c r="G42" s="75">
        <v>0.95</v>
      </c>
      <c r="H42" s="76">
        <v>1.0249999999999999</v>
      </c>
      <c r="I42" s="9">
        <v>84</v>
      </c>
      <c r="J42" s="9">
        <v>91.5</v>
      </c>
      <c r="K42" s="10">
        <v>72</v>
      </c>
      <c r="L42" s="65">
        <f>AVERAGE(1075,1195,1055,1002,1162,925,1129,1100,1175,1200,1199,1171,1035,1299)</f>
        <v>1123</v>
      </c>
      <c r="M42" s="25" t="s">
        <v>1171</v>
      </c>
      <c r="N42" s="65">
        <f>AVERAGE(1199,1200,1300,1365,1299,1260,1636,1425,1475,1385,1479)</f>
        <v>1365.7272727272727</v>
      </c>
      <c r="O42" s="25" t="s">
        <v>1153</v>
      </c>
      <c r="P42" s="65">
        <v>1410</v>
      </c>
      <c r="Q42" s="25" t="s">
        <v>1153</v>
      </c>
      <c r="R42" s="50" t="s">
        <v>633</v>
      </c>
      <c r="S42" s="65">
        <f>1875*CA.US</f>
        <v>1425</v>
      </c>
      <c r="T42" s="25" t="s">
        <v>1153</v>
      </c>
      <c r="U42" s="50" t="s">
        <v>327</v>
      </c>
    </row>
    <row r="43" spans="1:21" ht="12.6" customHeight="1">
      <c r="A43" s="73" t="s">
        <v>35</v>
      </c>
      <c r="B43" s="46" t="s">
        <v>969</v>
      </c>
      <c r="C43" s="9">
        <v>85</v>
      </c>
      <c r="D43" s="10">
        <v>1.4</v>
      </c>
      <c r="E43" s="50">
        <f t="shared" ref="E43" si="10">1.6*C43</f>
        <v>136</v>
      </c>
      <c r="F43" s="9" t="s">
        <v>36</v>
      </c>
      <c r="G43" s="75">
        <v>0.85</v>
      </c>
      <c r="H43" s="76">
        <v>0.95</v>
      </c>
      <c r="I43" s="9">
        <v>105</v>
      </c>
      <c r="J43" s="9">
        <v>87</v>
      </c>
      <c r="K43" s="10">
        <v>77</v>
      </c>
      <c r="L43" s="65">
        <f>AVERAGE(1355,1250,1450,1400,1450)</f>
        <v>1381</v>
      </c>
      <c r="M43" s="25" t="s">
        <v>1153</v>
      </c>
      <c r="N43" s="65">
        <f>AVERAGE(1450,1599,1599,1599)</f>
        <v>1561.75</v>
      </c>
      <c r="O43" s="25" t="s">
        <v>1153</v>
      </c>
      <c r="P43" s="65" t="s">
        <v>14</v>
      </c>
      <c r="Q43" s="25" t="s">
        <v>14</v>
      </c>
      <c r="R43" s="50" t="s">
        <v>14</v>
      </c>
      <c r="S43" s="65">
        <v>1600</v>
      </c>
      <c r="T43" s="25" t="s">
        <v>1153</v>
      </c>
      <c r="U43" s="50" t="s">
        <v>30</v>
      </c>
    </row>
    <row r="44" spans="1:21" ht="12.6" customHeight="1">
      <c r="A44" s="67" t="s">
        <v>35</v>
      </c>
      <c r="B44" s="58" t="s">
        <v>684</v>
      </c>
      <c r="C44" s="36">
        <v>85</v>
      </c>
      <c r="D44" s="71">
        <v>1.8</v>
      </c>
      <c r="E44" s="52">
        <f t="shared" si="9"/>
        <v>136</v>
      </c>
      <c r="F44" s="36" t="s">
        <v>36</v>
      </c>
      <c r="G44" s="59">
        <v>0.85</v>
      </c>
      <c r="H44" s="40">
        <v>0.42499999999999999</v>
      </c>
      <c r="I44" s="36">
        <v>71.5</v>
      </c>
      <c r="J44" s="36">
        <v>75</v>
      </c>
      <c r="K44" s="71">
        <v>58</v>
      </c>
      <c r="L44" s="61">
        <f>AVERAGE(241,250,235,198,245,240,266,200,273,225,228)</f>
        <v>236.45454545454547</v>
      </c>
      <c r="M44" s="68" t="s">
        <v>1171</v>
      </c>
      <c r="N44" s="61">
        <f>AVERAGE(270,247,270,298,280,309,300,285,315,276,290,309)</f>
        <v>287.41666666666669</v>
      </c>
      <c r="O44" s="168" t="s">
        <v>1171</v>
      </c>
      <c r="P44" s="61">
        <v>245</v>
      </c>
      <c r="Q44" s="68" t="s">
        <v>1153</v>
      </c>
      <c r="R44" s="52" t="s">
        <v>30</v>
      </c>
      <c r="S44" s="151">
        <f>895*CA.US</f>
        <v>680.2</v>
      </c>
      <c r="T44" s="68" t="s">
        <v>1153</v>
      </c>
      <c r="U44" s="52" t="s">
        <v>873</v>
      </c>
    </row>
    <row r="45" spans="1:21" ht="12.6" customHeight="1">
      <c r="A45" s="73" t="s">
        <v>35</v>
      </c>
      <c r="B45" s="46" t="s">
        <v>779</v>
      </c>
      <c r="C45" s="9">
        <v>100</v>
      </c>
      <c r="D45" s="10">
        <v>2</v>
      </c>
      <c r="E45" s="50">
        <f t="shared" si="9"/>
        <v>160</v>
      </c>
      <c r="F45" s="9" t="s">
        <v>36</v>
      </c>
      <c r="G45" s="75">
        <v>0.9</v>
      </c>
      <c r="H45" s="76">
        <v>0.46</v>
      </c>
      <c r="I45" s="9">
        <v>73.5</v>
      </c>
      <c r="J45" s="9">
        <v>75</v>
      </c>
      <c r="K45" s="10">
        <v>58</v>
      </c>
      <c r="L45" s="65">
        <f>AVERAGE(272,199,250,225,249,257,260,261,250,300,276,255)</f>
        <v>254.5</v>
      </c>
      <c r="M45" s="25" t="s">
        <v>1153</v>
      </c>
      <c r="N45" s="65">
        <f>AVERAGE(313,345,320,360,289,335,325,310,329,309)</f>
        <v>323.5</v>
      </c>
      <c r="O45" s="25" t="s">
        <v>1171</v>
      </c>
      <c r="P45" s="65">
        <v>340</v>
      </c>
      <c r="Q45" s="25" t="s">
        <v>1153</v>
      </c>
      <c r="R45" s="50" t="s">
        <v>633</v>
      </c>
      <c r="S45" s="65">
        <v>400</v>
      </c>
      <c r="T45" s="25" t="s">
        <v>1153</v>
      </c>
      <c r="U45" s="50" t="s">
        <v>30</v>
      </c>
    </row>
    <row r="46" spans="1:21" ht="12.6" customHeight="1">
      <c r="A46" s="73" t="s">
        <v>35</v>
      </c>
      <c r="B46" s="46" t="s">
        <v>780</v>
      </c>
      <c r="C46" s="9">
        <v>100</v>
      </c>
      <c r="D46" s="10">
        <v>2.8</v>
      </c>
      <c r="E46" s="50">
        <f t="shared" si="9"/>
        <v>160</v>
      </c>
      <c r="F46" s="9" t="s">
        <v>36</v>
      </c>
      <c r="G46" s="75">
        <v>0.31</v>
      </c>
      <c r="H46" s="76">
        <v>0.6</v>
      </c>
      <c r="I46" s="9">
        <v>119</v>
      </c>
      <c r="J46" s="9">
        <v>79</v>
      </c>
      <c r="K46" s="10">
        <v>58</v>
      </c>
      <c r="L46" s="65">
        <f>AVERAGE(217,230,219,203,215,200,200,180,238)</f>
        <v>211.33333333333334</v>
      </c>
      <c r="M46" s="25" t="s">
        <v>1171</v>
      </c>
      <c r="N46" s="65">
        <f>AVERAGE(239,250,249,285,260,270,248,280,220,269,225)</f>
        <v>254.09090909090909</v>
      </c>
      <c r="O46" s="25" t="s">
        <v>1091</v>
      </c>
      <c r="P46" s="65">
        <v>278</v>
      </c>
      <c r="Q46" s="25" t="s">
        <v>918</v>
      </c>
      <c r="R46" s="50" t="s">
        <v>28</v>
      </c>
      <c r="S46" s="65">
        <v>395</v>
      </c>
      <c r="T46" s="25" t="s">
        <v>619</v>
      </c>
      <c r="U46" s="50" t="s">
        <v>27</v>
      </c>
    </row>
    <row r="47" spans="1:21" ht="12.6" customHeight="1">
      <c r="A47" s="73" t="s">
        <v>35</v>
      </c>
      <c r="B47" s="46" t="s">
        <v>753</v>
      </c>
      <c r="C47" s="9">
        <v>100</v>
      </c>
      <c r="D47" s="10">
        <v>2.8</v>
      </c>
      <c r="E47" s="50">
        <f t="shared" si="9"/>
        <v>160</v>
      </c>
      <c r="F47" s="9" t="s">
        <v>36</v>
      </c>
      <c r="G47" s="75">
        <v>0.31</v>
      </c>
      <c r="H47" s="76">
        <v>0.6</v>
      </c>
      <c r="I47" s="9">
        <v>119</v>
      </c>
      <c r="J47" s="9">
        <v>79</v>
      </c>
      <c r="K47" s="10">
        <v>58</v>
      </c>
      <c r="L47" s="65">
        <f>AVERAGE(179,255,275,286,289,255,261,260,284,267,279,298)</f>
        <v>265.66666666666669</v>
      </c>
      <c r="M47" s="118" t="s">
        <v>1153</v>
      </c>
      <c r="N47" s="65">
        <f>AVERAGE(365,351,330,350,350,337,299,360,335,315,280,325)</f>
        <v>333.08333333333331</v>
      </c>
      <c r="O47" s="25" t="s">
        <v>1171</v>
      </c>
      <c r="P47" s="65">
        <v>290</v>
      </c>
      <c r="Q47" s="25" t="s">
        <v>1153</v>
      </c>
      <c r="R47" s="50" t="s">
        <v>456</v>
      </c>
      <c r="S47" s="65">
        <v>400</v>
      </c>
      <c r="T47" s="25" t="s">
        <v>925</v>
      </c>
      <c r="U47" s="50" t="s">
        <v>28</v>
      </c>
    </row>
    <row r="48" spans="1:21" ht="12.6" customHeight="1">
      <c r="A48" s="67" t="s">
        <v>35</v>
      </c>
      <c r="B48" s="58" t="s">
        <v>754</v>
      </c>
      <c r="C48" s="36">
        <v>100</v>
      </c>
      <c r="D48" s="71">
        <v>2.8</v>
      </c>
      <c r="E48" s="52">
        <f t="shared" si="9"/>
        <v>160</v>
      </c>
      <c r="F48" s="36" t="s">
        <v>36</v>
      </c>
      <c r="G48" s="59">
        <v>0.3</v>
      </c>
      <c r="H48" s="40">
        <v>0.625</v>
      </c>
      <c r="I48" s="36">
        <v>123</v>
      </c>
      <c r="J48" s="36">
        <v>77.7</v>
      </c>
      <c r="K48" s="71">
        <v>67</v>
      </c>
      <c r="L48" s="61">
        <f>AVERAGE(605,595,540,585,620,650,560,620,591,609,625,590,610)</f>
        <v>600</v>
      </c>
      <c r="M48" s="168" t="s">
        <v>1171</v>
      </c>
      <c r="N48" s="61">
        <f>AVERAGE(640,649,698,690,675,675,706,730,685,699,746,670,717,705)</f>
        <v>691.78571428571433</v>
      </c>
      <c r="O48" s="168" t="s">
        <v>1153</v>
      </c>
      <c r="P48" s="61">
        <v>600</v>
      </c>
      <c r="Q48" s="68" t="s">
        <v>1153</v>
      </c>
      <c r="R48" s="52" t="s">
        <v>948</v>
      </c>
      <c r="S48" s="61">
        <f>785*CA.US</f>
        <v>596.6</v>
      </c>
      <c r="T48" s="68" t="s">
        <v>1091</v>
      </c>
      <c r="U48" s="52" t="s">
        <v>327</v>
      </c>
    </row>
    <row r="49" spans="1:21" ht="12.6" customHeight="1">
      <c r="A49" s="73" t="s">
        <v>35</v>
      </c>
      <c r="B49" s="46" t="s">
        <v>454</v>
      </c>
      <c r="C49" s="9">
        <v>135</v>
      </c>
      <c r="D49" s="10">
        <v>2</v>
      </c>
      <c r="E49" s="50">
        <f t="shared" si="9"/>
        <v>216</v>
      </c>
      <c r="F49" s="9" t="s">
        <v>36</v>
      </c>
      <c r="G49" s="75">
        <v>0.9</v>
      </c>
      <c r="H49" s="76">
        <v>0.75</v>
      </c>
      <c r="I49" s="9">
        <v>112</v>
      </c>
      <c r="J49" s="9">
        <v>82.5</v>
      </c>
      <c r="K49" s="10">
        <v>72</v>
      </c>
      <c r="L49" s="65">
        <f>AVERAGE(612,675,541,625,650,667,685,610,600,602,602)</f>
        <v>624.4545454545455</v>
      </c>
      <c r="M49" s="25" t="s">
        <v>1171</v>
      </c>
      <c r="N49" s="65">
        <f>AVERAGE(660,750,779,700,739,730,800,720,807)</f>
        <v>742.77777777777783</v>
      </c>
      <c r="O49" s="25" t="s">
        <v>1153</v>
      </c>
      <c r="P49" s="65">
        <f>900*CA.US</f>
        <v>684</v>
      </c>
      <c r="Q49" s="25" t="s">
        <v>1153</v>
      </c>
      <c r="R49" s="50" t="s">
        <v>327</v>
      </c>
      <c r="S49" s="65">
        <v>825</v>
      </c>
      <c r="T49" s="25" t="s">
        <v>723</v>
      </c>
      <c r="U49" s="50" t="s">
        <v>27</v>
      </c>
    </row>
    <row r="50" spans="1:21" ht="12.6" customHeight="1">
      <c r="A50" s="73" t="s">
        <v>35</v>
      </c>
      <c r="B50" s="46" t="s">
        <v>781</v>
      </c>
      <c r="C50" s="9">
        <v>135</v>
      </c>
      <c r="D50" s="10">
        <v>2.8</v>
      </c>
      <c r="E50" s="50">
        <f t="shared" si="9"/>
        <v>216</v>
      </c>
      <c r="F50" s="9" t="s">
        <v>36</v>
      </c>
      <c r="G50" s="75">
        <v>1.3</v>
      </c>
      <c r="H50" s="76">
        <v>0.39</v>
      </c>
      <c r="I50" s="9">
        <v>98.4</v>
      </c>
      <c r="J50" s="9">
        <v>69.2</v>
      </c>
      <c r="K50" s="10">
        <v>52</v>
      </c>
      <c r="L50" s="65">
        <f>AVERAGE(150,110,168,150,178,139,177,150,147,182,129,145,154,160,155)</f>
        <v>152.93333333333334</v>
      </c>
      <c r="M50" s="118" t="s">
        <v>1153</v>
      </c>
      <c r="N50" s="65">
        <f>AVERAGE(200,225,263,219,200,219,210,240,200,200,218,185,265,173,199)</f>
        <v>214.4</v>
      </c>
      <c r="O50" s="25" t="s">
        <v>1153</v>
      </c>
      <c r="P50" s="65">
        <v>245</v>
      </c>
      <c r="Q50" s="25" t="s">
        <v>925</v>
      </c>
      <c r="R50" s="50" t="s">
        <v>456</v>
      </c>
      <c r="S50" s="65">
        <v>300</v>
      </c>
      <c r="T50" s="25" t="s">
        <v>723</v>
      </c>
      <c r="U50" s="50" t="s">
        <v>28</v>
      </c>
    </row>
    <row r="51" spans="1:21" s="26" customFormat="1" ht="12.6" customHeight="1">
      <c r="A51" s="67" t="s">
        <v>35</v>
      </c>
      <c r="B51" s="58" t="s">
        <v>746</v>
      </c>
      <c r="C51" s="36">
        <v>180</v>
      </c>
      <c r="D51" s="71">
        <v>3.5</v>
      </c>
      <c r="E51" s="52">
        <f t="shared" si="9"/>
        <v>288</v>
      </c>
      <c r="F51" s="36" t="s">
        <v>36</v>
      </c>
      <c r="G51" s="59">
        <v>0.48</v>
      </c>
      <c r="H51" s="40">
        <v>1.0900000000000001</v>
      </c>
      <c r="I51" s="36">
        <v>186.6</v>
      </c>
      <c r="J51" s="36">
        <v>82.5</v>
      </c>
      <c r="K51" s="71">
        <v>72</v>
      </c>
      <c r="L51" s="61">
        <f>AVERAGE(650,630,649,669,700,600,749,759,720,685,716,685)</f>
        <v>684.33333333333337</v>
      </c>
      <c r="M51" s="168" t="s">
        <v>1153</v>
      </c>
      <c r="N51" s="61">
        <f>AVERAGE(814,740,700,783,850,850,910,825,839,1028,899)</f>
        <v>839.81818181818187</v>
      </c>
      <c r="O51" s="68" t="s">
        <v>1153</v>
      </c>
      <c r="P51" s="61">
        <v>950</v>
      </c>
      <c r="Q51" s="68" t="s">
        <v>1153</v>
      </c>
      <c r="R51" s="52" t="s">
        <v>30</v>
      </c>
      <c r="S51" s="61">
        <f>985*CA.US</f>
        <v>748.6</v>
      </c>
      <c r="T51" s="68" t="s">
        <v>1153</v>
      </c>
      <c r="U51" s="52" t="s">
        <v>327</v>
      </c>
    </row>
    <row r="52" spans="1:21" ht="12.6" customHeight="1">
      <c r="A52" s="73" t="s">
        <v>35</v>
      </c>
      <c r="B52" s="46" t="s">
        <v>377</v>
      </c>
      <c r="C52" s="9">
        <v>200</v>
      </c>
      <c r="D52" s="10">
        <v>1.8</v>
      </c>
      <c r="E52" s="50">
        <f t="shared" si="9"/>
        <v>320</v>
      </c>
      <c r="F52" s="9" t="s">
        <v>36</v>
      </c>
      <c r="G52" s="75">
        <v>2.5</v>
      </c>
      <c r="H52" s="76">
        <v>3</v>
      </c>
      <c r="I52" s="9">
        <v>208</v>
      </c>
      <c r="J52" s="9">
        <v>129.5</v>
      </c>
      <c r="K52" s="10" t="s">
        <v>38</v>
      </c>
      <c r="L52" s="65">
        <f>AVERAGE(2500,2900,2426,2705,2845,2818,2700,2425)</f>
        <v>2664.875</v>
      </c>
      <c r="M52" s="25" t="s">
        <v>1118</v>
      </c>
      <c r="N52" s="65">
        <f>AVERAGE(3650,3295,3990,3550,4000,3287,3500,3500,4334,3798,3640,3798,3650,3700)</f>
        <v>3692.2857142857142</v>
      </c>
      <c r="O52" s="25" t="s">
        <v>1153</v>
      </c>
      <c r="P52" s="65">
        <v>3500</v>
      </c>
      <c r="Q52" s="25" t="s">
        <v>723</v>
      </c>
      <c r="R52" s="50" t="s">
        <v>30</v>
      </c>
      <c r="S52" s="65" t="s">
        <v>14</v>
      </c>
      <c r="T52" s="25" t="s">
        <v>14</v>
      </c>
      <c r="U52" s="50" t="s">
        <v>14</v>
      </c>
    </row>
    <row r="53" spans="1:21" ht="12.6" customHeight="1">
      <c r="A53" s="73" t="s">
        <v>35</v>
      </c>
      <c r="B53" s="46" t="s">
        <v>782</v>
      </c>
      <c r="C53" s="9">
        <v>200</v>
      </c>
      <c r="D53" s="10">
        <v>2</v>
      </c>
      <c r="E53" s="50">
        <f t="shared" si="9"/>
        <v>320</v>
      </c>
      <c r="F53" s="9" t="s">
        <v>36</v>
      </c>
      <c r="G53" s="75">
        <v>1.9</v>
      </c>
      <c r="H53" s="76">
        <v>2.5</v>
      </c>
      <c r="I53" s="9">
        <v>208</v>
      </c>
      <c r="J53" s="9">
        <v>128</v>
      </c>
      <c r="K53" s="10" t="s">
        <v>40</v>
      </c>
      <c r="L53" s="65">
        <f>AVERAGE(4101,3600,3800,4200,3920,4100,4005,4550,4283,4050,4099,4075,4306)</f>
        <v>4083.7692307692309</v>
      </c>
      <c r="M53" s="118" t="s">
        <v>1100</v>
      </c>
      <c r="N53" s="65">
        <f>AVERAGE(4010,4799,4799,4995,4655,4996,4599,4750,4167,4561,5089,4705)</f>
        <v>4677.083333333333</v>
      </c>
      <c r="O53" s="25" t="s">
        <v>1110</v>
      </c>
      <c r="P53" s="65">
        <v>4800</v>
      </c>
      <c r="Q53" s="25" t="s">
        <v>925</v>
      </c>
      <c r="R53" s="50" t="s">
        <v>30</v>
      </c>
      <c r="S53" s="65">
        <v>5000</v>
      </c>
      <c r="T53" s="25" t="s">
        <v>892</v>
      </c>
      <c r="U53" s="50" t="s">
        <v>30</v>
      </c>
    </row>
    <row r="54" spans="1:21" ht="12.6" customHeight="1">
      <c r="A54" s="73" t="s">
        <v>35</v>
      </c>
      <c r="B54" s="46" t="s">
        <v>783</v>
      </c>
      <c r="C54" s="9">
        <v>200</v>
      </c>
      <c r="D54" s="10">
        <v>2.8</v>
      </c>
      <c r="E54" s="50">
        <f t="shared" si="9"/>
        <v>320</v>
      </c>
      <c r="F54" s="9" t="s">
        <v>36</v>
      </c>
      <c r="G54" s="75">
        <v>1.5</v>
      </c>
      <c r="H54" s="76">
        <v>0.79</v>
      </c>
      <c r="I54" s="9">
        <v>136.19999999999999</v>
      </c>
      <c r="J54" s="9">
        <v>83.2</v>
      </c>
      <c r="K54" s="10">
        <v>72</v>
      </c>
      <c r="L54" s="65">
        <f>AVERAGE(310,380,375,370,380,405,350,405,355,332,415)</f>
        <v>370.63636363636363</v>
      </c>
      <c r="M54" s="25" t="s">
        <v>1091</v>
      </c>
      <c r="N54" s="65">
        <f>AVERAGE(450,487,500,480,500,450,466,470,489,510,600,528)</f>
        <v>494.16666666666669</v>
      </c>
      <c r="O54" s="25" t="s">
        <v>1091</v>
      </c>
      <c r="P54" s="65">
        <f>385*CA.US</f>
        <v>292.60000000000002</v>
      </c>
      <c r="Q54" s="25" t="s">
        <v>1091</v>
      </c>
      <c r="R54" s="50" t="s">
        <v>327</v>
      </c>
      <c r="S54" s="65">
        <v>600</v>
      </c>
      <c r="T54" s="25" t="s">
        <v>681</v>
      </c>
      <c r="U54" s="50" t="s">
        <v>28</v>
      </c>
    </row>
    <row r="55" spans="1:21" ht="12.6" customHeight="1">
      <c r="A55" s="67" t="s">
        <v>35</v>
      </c>
      <c r="B55" s="58" t="s">
        <v>39</v>
      </c>
      <c r="C55" s="36">
        <v>200</v>
      </c>
      <c r="D55" s="71">
        <v>2.8</v>
      </c>
      <c r="E55" s="52">
        <f t="shared" si="9"/>
        <v>320</v>
      </c>
      <c r="F55" s="36" t="s">
        <v>36</v>
      </c>
      <c r="G55" s="59">
        <v>1.5</v>
      </c>
      <c r="H55" s="40">
        <v>0.76500000000000001</v>
      </c>
      <c r="I55" s="36">
        <v>136.19999999999999</v>
      </c>
      <c r="J55" s="36">
        <v>83.2</v>
      </c>
      <c r="K55" s="71">
        <v>72</v>
      </c>
      <c r="L55" s="61">
        <f>AVERAGE(420,513,404,405,440,435,490,445,450,480,440,519)</f>
        <v>453.41666666666669</v>
      </c>
      <c r="M55" s="168" t="s">
        <v>1171</v>
      </c>
      <c r="N55" s="61">
        <f>AVERAGE(539,510,559,502,551,588,537,599,598,598,580,535,561)</f>
        <v>558.23076923076928</v>
      </c>
      <c r="O55" s="168" t="s">
        <v>1153</v>
      </c>
      <c r="P55" s="61">
        <v>550</v>
      </c>
      <c r="Q55" s="68" t="s">
        <v>954</v>
      </c>
      <c r="R55" s="52" t="s">
        <v>948</v>
      </c>
      <c r="S55" s="61">
        <f>750*CA.US</f>
        <v>570</v>
      </c>
      <c r="T55" s="68" t="s">
        <v>1153</v>
      </c>
      <c r="U55" s="52" t="s">
        <v>327</v>
      </c>
    </row>
    <row r="56" spans="1:21" ht="12.6" customHeight="1">
      <c r="A56" s="73" t="s">
        <v>35</v>
      </c>
      <c r="B56" s="46" t="s">
        <v>784</v>
      </c>
      <c r="C56" s="9">
        <v>300</v>
      </c>
      <c r="D56" s="10">
        <v>2.8</v>
      </c>
      <c r="E56" s="50">
        <f t="shared" si="9"/>
        <v>480</v>
      </c>
      <c r="F56" s="9" t="s">
        <v>36</v>
      </c>
      <c r="G56" s="75">
        <v>3</v>
      </c>
      <c r="H56" s="76">
        <v>2.855</v>
      </c>
      <c r="I56" s="9">
        <v>253</v>
      </c>
      <c r="J56" s="9">
        <v>125</v>
      </c>
      <c r="K56" s="10" t="s">
        <v>38</v>
      </c>
      <c r="L56" s="65">
        <f>AVERAGE(1520,1549,1498,1499,1599,1750,1672,1685,1650)</f>
        <v>1602.4444444444443</v>
      </c>
      <c r="M56" s="25" t="s">
        <v>1153</v>
      </c>
      <c r="N56" s="65">
        <f>AVERAGE(2199,1999,2148,2445,2098,2098,1945,2250,2299)</f>
        <v>2164.5555555555557</v>
      </c>
      <c r="O56" s="25" t="s">
        <v>1118</v>
      </c>
      <c r="P56" s="65">
        <v>2200</v>
      </c>
      <c r="Q56" s="25" t="s">
        <v>1153</v>
      </c>
      <c r="R56" s="50" t="s">
        <v>28</v>
      </c>
      <c r="S56" s="65">
        <f>1685*CA.US</f>
        <v>1280.5999999999999</v>
      </c>
      <c r="T56" s="25" t="s">
        <v>1061</v>
      </c>
      <c r="U56" s="50" t="s">
        <v>327</v>
      </c>
    </row>
    <row r="57" spans="1:21" ht="12.6" customHeight="1">
      <c r="A57" s="73" t="s">
        <v>35</v>
      </c>
      <c r="B57" s="46" t="s">
        <v>479</v>
      </c>
      <c r="C57" s="9">
        <v>300</v>
      </c>
      <c r="D57" s="10">
        <v>2.8</v>
      </c>
      <c r="E57" s="50">
        <f t="shared" si="9"/>
        <v>480</v>
      </c>
      <c r="F57" s="9" t="s">
        <v>36</v>
      </c>
      <c r="G57" s="75">
        <v>2.5</v>
      </c>
      <c r="H57" s="76">
        <v>2.5499999999999998</v>
      </c>
      <c r="I57" s="9">
        <v>252</v>
      </c>
      <c r="J57" s="9">
        <v>128</v>
      </c>
      <c r="K57" s="10" t="s">
        <v>40</v>
      </c>
      <c r="L57" s="65">
        <f>AVERAGE(2490,2290,2348,2329,2495,2290,2000,2500,2679,2679)</f>
        <v>2410</v>
      </c>
      <c r="M57" s="25" t="s">
        <v>1153</v>
      </c>
      <c r="N57" s="65">
        <f>AVERAGE(2748,2450,2570,3100,3070,2999,3148)</f>
        <v>2869.2857142857142</v>
      </c>
      <c r="O57" s="25" t="s">
        <v>1153</v>
      </c>
      <c r="P57" s="65">
        <v>3392</v>
      </c>
      <c r="Q57" s="25" t="s">
        <v>925</v>
      </c>
      <c r="R57" s="50" t="s">
        <v>28</v>
      </c>
      <c r="S57" s="65">
        <f>4800*CA.US</f>
        <v>3648</v>
      </c>
      <c r="T57" s="25" t="s">
        <v>723</v>
      </c>
      <c r="U57" s="50" t="s">
        <v>327</v>
      </c>
    </row>
    <row r="58" spans="1:21" ht="12.6" customHeight="1">
      <c r="A58" s="73" t="s">
        <v>35</v>
      </c>
      <c r="B58" s="46" t="s">
        <v>755</v>
      </c>
      <c r="C58" s="9">
        <v>300</v>
      </c>
      <c r="D58" s="10">
        <v>2.8</v>
      </c>
      <c r="E58" s="50">
        <f t="shared" si="9"/>
        <v>480</v>
      </c>
      <c r="F58" s="9" t="s">
        <v>36</v>
      </c>
      <c r="G58" s="75">
        <v>2</v>
      </c>
      <c r="H58" s="76">
        <v>2.35</v>
      </c>
      <c r="I58" s="9">
        <v>248</v>
      </c>
      <c r="J58" s="9">
        <v>128</v>
      </c>
      <c r="K58" s="10" t="s">
        <v>40</v>
      </c>
      <c r="L58" s="65">
        <f>AVERAGE(4099,3800,3388,4100,3999,3650,3389,3620,4000,4400,4150)</f>
        <v>3872.2727272727275</v>
      </c>
      <c r="M58" s="25" t="s">
        <v>1153</v>
      </c>
      <c r="N58" s="65">
        <f>AVERAGE(4400,4700,5372,4949)</f>
        <v>4855.25</v>
      </c>
      <c r="O58" s="118" t="s">
        <v>1100</v>
      </c>
      <c r="P58" s="65">
        <v>5100</v>
      </c>
      <c r="Q58" s="25" t="s">
        <v>1153</v>
      </c>
      <c r="R58" s="50" t="s">
        <v>31</v>
      </c>
      <c r="S58" s="65">
        <v>4800</v>
      </c>
      <c r="T58" s="25" t="s">
        <v>1061</v>
      </c>
      <c r="U58" s="50" t="s">
        <v>28</v>
      </c>
    </row>
    <row r="59" spans="1:21" ht="12.6" customHeight="1">
      <c r="A59" s="73" t="s">
        <v>35</v>
      </c>
      <c r="B59" s="46" t="s">
        <v>756</v>
      </c>
      <c r="C59" s="9">
        <v>300</v>
      </c>
      <c r="D59" s="10">
        <v>4</v>
      </c>
      <c r="E59" s="50">
        <f t="shared" si="9"/>
        <v>480</v>
      </c>
      <c r="F59" s="9" t="s">
        <v>36</v>
      </c>
      <c r="G59" s="75">
        <v>2.5</v>
      </c>
      <c r="H59" s="76">
        <v>1.165</v>
      </c>
      <c r="I59" s="9">
        <v>213.5</v>
      </c>
      <c r="J59" s="9">
        <v>90</v>
      </c>
      <c r="K59" s="10">
        <v>77</v>
      </c>
      <c r="L59" s="65">
        <f xml:space="preserve"> AVERAGE(525,429,405,400,508,478,515,498,490,489,520,480,495)</f>
        <v>479.38461538461536</v>
      </c>
      <c r="M59" s="25" t="s">
        <v>1153</v>
      </c>
      <c r="N59" s="65">
        <f>AVERAGE(549,518,593,550,610,617,650,675)</f>
        <v>595.25</v>
      </c>
      <c r="O59" s="25" t="s">
        <v>1153</v>
      </c>
      <c r="P59" s="65">
        <v>650</v>
      </c>
      <c r="Q59" s="25" t="s">
        <v>723</v>
      </c>
      <c r="R59" s="50" t="s">
        <v>28</v>
      </c>
      <c r="S59" s="65">
        <v>1080</v>
      </c>
      <c r="T59" s="25" t="s">
        <v>452</v>
      </c>
      <c r="U59" s="50" t="s">
        <v>28</v>
      </c>
    </row>
    <row r="60" spans="1:21" ht="12.6" customHeight="1">
      <c r="A60" s="67" t="s">
        <v>35</v>
      </c>
      <c r="B60" s="58" t="s">
        <v>378</v>
      </c>
      <c r="C60" s="36">
        <v>300</v>
      </c>
      <c r="D60" s="71">
        <v>4</v>
      </c>
      <c r="E60" s="52">
        <f t="shared" si="9"/>
        <v>480</v>
      </c>
      <c r="F60" s="36" t="s">
        <v>36</v>
      </c>
      <c r="G60" s="59">
        <v>1.5</v>
      </c>
      <c r="H60" s="40">
        <v>1.19</v>
      </c>
      <c r="I60" s="36">
        <v>221</v>
      </c>
      <c r="J60" s="36">
        <v>90</v>
      </c>
      <c r="K60" s="71">
        <v>77</v>
      </c>
      <c r="L60" s="61">
        <f>AVERAGE(700,550,620,500,711,621,550,650,570,590,685)</f>
        <v>613.36363636363637</v>
      </c>
      <c r="M60" s="168" t="s">
        <v>1171</v>
      </c>
      <c r="N60" s="61">
        <f>AVERAGE(729,750,783,899,799,846,890,860,945,846,900,827,800)</f>
        <v>836.46153846153845</v>
      </c>
      <c r="O60" s="168" t="s">
        <v>1153</v>
      </c>
      <c r="P60" s="61">
        <v>810</v>
      </c>
      <c r="Q60" s="68" t="s">
        <v>1153</v>
      </c>
      <c r="R60" s="183" t="s">
        <v>31</v>
      </c>
      <c r="S60" s="61">
        <v>980</v>
      </c>
      <c r="T60" s="68" t="s">
        <v>1153</v>
      </c>
      <c r="U60" s="183" t="s">
        <v>30</v>
      </c>
    </row>
    <row r="61" spans="1:21" s="26" customFormat="1" ht="12.6" customHeight="1">
      <c r="A61" s="73" t="s">
        <v>35</v>
      </c>
      <c r="B61" s="46" t="s">
        <v>785</v>
      </c>
      <c r="C61" s="9">
        <v>400</v>
      </c>
      <c r="D61" s="10">
        <v>2.8</v>
      </c>
      <c r="E61" s="50">
        <f t="shared" si="9"/>
        <v>640</v>
      </c>
      <c r="F61" s="9" t="s">
        <v>36</v>
      </c>
      <c r="G61" s="75">
        <v>4</v>
      </c>
      <c r="H61" s="76">
        <v>6.1</v>
      </c>
      <c r="I61" s="9">
        <v>348</v>
      </c>
      <c r="J61" s="9">
        <v>167</v>
      </c>
      <c r="K61" s="10" t="s">
        <v>38</v>
      </c>
      <c r="L61" s="65">
        <f>AVERAGE(2480,2025,1724,2305,2350,1647,1949)</f>
        <v>2068.5714285714284</v>
      </c>
      <c r="M61" s="9" t="s">
        <v>1153</v>
      </c>
      <c r="N61" s="65">
        <f>AVERAGE(3100,2950,2950,3600)</f>
        <v>3150</v>
      </c>
      <c r="O61" s="9" t="s">
        <v>817</v>
      </c>
      <c r="P61" s="65">
        <v>3520</v>
      </c>
      <c r="Q61" s="9" t="s">
        <v>612</v>
      </c>
      <c r="R61" s="50" t="s">
        <v>28</v>
      </c>
      <c r="S61" s="65" t="s">
        <v>14</v>
      </c>
      <c r="T61" s="9" t="s">
        <v>14</v>
      </c>
      <c r="U61" s="50" t="s">
        <v>14</v>
      </c>
    </row>
    <row r="62" spans="1:21" ht="12.6" customHeight="1">
      <c r="A62" s="73" t="s">
        <v>35</v>
      </c>
      <c r="B62" s="46" t="s">
        <v>41</v>
      </c>
      <c r="C62" s="9">
        <v>400</v>
      </c>
      <c r="D62" s="10">
        <v>2.8</v>
      </c>
      <c r="E62" s="50">
        <f t="shared" si="9"/>
        <v>640</v>
      </c>
      <c r="F62" s="9" t="s">
        <v>36</v>
      </c>
      <c r="G62" s="75">
        <v>4</v>
      </c>
      <c r="H62" s="76">
        <v>5.91</v>
      </c>
      <c r="I62" s="9">
        <v>348</v>
      </c>
      <c r="J62" s="9">
        <v>167</v>
      </c>
      <c r="K62" s="10" t="s">
        <v>38</v>
      </c>
      <c r="L62" s="65">
        <f>AVERAGE(2025,2475,2025,2850)</f>
        <v>2343.75</v>
      </c>
      <c r="M62" s="25" t="s">
        <v>1153</v>
      </c>
      <c r="N62" s="65">
        <f>AVERAGE(3045,3900,3350,3899)</f>
        <v>3548.5</v>
      </c>
      <c r="O62" s="25" t="s">
        <v>1118</v>
      </c>
      <c r="P62" s="65">
        <v>4300</v>
      </c>
      <c r="Q62" s="25" t="s">
        <v>918</v>
      </c>
      <c r="R62" s="66" t="s">
        <v>28</v>
      </c>
      <c r="S62" s="65">
        <v>4995</v>
      </c>
      <c r="T62" s="25" t="s">
        <v>708</v>
      </c>
      <c r="U62" s="66" t="s">
        <v>26</v>
      </c>
    </row>
    <row r="63" spans="1:21" ht="12.6" customHeight="1">
      <c r="A63" s="73" t="s">
        <v>35</v>
      </c>
      <c r="B63" s="46" t="s">
        <v>757</v>
      </c>
      <c r="C63" s="9">
        <v>400</v>
      </c>
      <c r="D63" s="10">
        <v>2.8</v>
      </c>
      <c r="E63" s="50">
        <f t="shared" si="9"/>
        <v>640</v>
      </c>
      <c r="F63" s="9" t="s">
        <v>36</v>
      </c>
      <c r="G63" s="75">
        <v>3</v>
      </c>
      <c r="H63" s="76">
        <v>5.37</v>
      </c>
      <c r="I63" s="9">
        <v>349</v>
      </c>
      <c r="J63" s="9">
        <v>163</v>
      </c>
      <c r="K63" s="10" t="s">
        <v>40</v>
      </c>
      <c r="L63" s="65">
        <f>AVERAGE(3700,3555,3401,3525,4173,3840,3999,3651,3995,3901,3600)</f>
        <v>3758.181818181818</v>
      </c>
      <c r="M63" s="9" t="s">
        <v>1153</v>
      </c>
      <c r="N63" s="65">
        <f>AVERAGE(4258,5600,5450,4849,4499,4599,5300)</f>
        <v>4936.4285714285716</v>
      </c>
      <c r="O63" s="25" t="s">
        <v>1110</v>
      </c>
      <c r="P63" s="65">
        <v>5400</v>
      </c>
      <c r="Q63" s="25" t="s">
        <v>1153</v>
      </c>
      <c r="R63" s="66" t="s">
        <v>30</v>
      </c>
      <c r="S63" s="65">
        <v>5200</v>
      </c>
      <c r="T63" s="25" t="s">
        <v>925</v>
      </c>
      <c r="U63" s="66" t="s">
        <v>28</v>
      </c>
    </row>
    <row r="64" spans="1:21" ht="12.6" customHeight="1">
      <c r="A64" s="73" t="s">
        <v>35</v>
      </c>
      <c r="B64" s="46" t="s">
        <v>758</v>
      </c>
      <c r="C64" s="9">
        <v>400</v>
      </c>
      <c r="D64" s="10">
        <v>2.8</v>
      </c>
      <c r="E64" s="50">
        <f t="shared" si="9"/>
        <v>640</v>
      </c>
      <c r="F64" s="9" t="s">
        <v>36</v>
      </c>
      <c r="G64" s="75">
        <v>2.7</v>
      </c>
      <c r="H64" s="76">
        <v>3.85</v>
      </c>
      <c r="I64" s="9">
        <v>343</v>
      </c>
      <c r="J64" s="9">
        <v>163</v>
      </c>
      <c r="K64" s="10" t="s">
        <v>40</v>
      </c>
      <c r="L64" s="65">
        <f>AVERAGE(4455,6600,6285,6601,6936,6055,7277,7887,7239)</f>
        <v>6592.7777777777774</v>
      </c>
      <c r="M64" s="9" t="s">
        <v>1153</v>
      </c>
      <c r="N64" s="65">
        <f>AVERAGE(8110,8450,7000,7651,8499,8701,8700)</f>
        <v>8158.7142857142853</v>
      </c>
      <c r="O64" s="25" t="s">
        <v>1118</v>
      </c>
      <c r="P64" s="65">
        <v>8120</v>
      </c>
      <c r="Q64" s="25" t="s">
        <v>723</v>
      </c>
      <c r="R64" s="66" t="s">
        <v>633</v>
      </c>
      <c r="S64" s="65">
        <v>8815</v>
      </c>
      <c r="T64" s="25" t="s">
        <v>681</v>
      </c>
      <c r="U64" s="66" t="s">
        <v>633</v>
      </c>
    </row>
    <row r="65" spans="1:21" ht="12.6" customHeight="1">
      <c r="A65" s="73" t="s">
        <v>35</v>
      </c>
      <c r="B65" s="46" t="s">
        <v>477</v>
      </c>
      <c r="C65" s="9">
        <v>400</v>
      </c>
      <c r="D65" s="10">
        <v>4</v>
      </c>
      <c r="E65" s="50">
        <f t="shared" si="9"/>
        <v>640</v>
      </c>
      <c r="F65" s="9" t="s">
        <v>36</v>
      </c>
      <c r="G65" s="75">
        <v>3.5</v>
      </c>
      <c r="H65" s="76">
        <v>1.94</v>
      </c>
      <c r="I65" s="9">
        <v>232.7</v>
      </c>
      <c r="J65" s="9">
        <v>128</v>
      </c>
      <c r="K65" s="10" t="s">
        <v>40</v>
      </c>
      <c r="L65" s="65">
        <f>AVERAGE(2539,2498,2645,2491,2550,2595,2123,2270,2213,2598)</f>
        <v>2452.1999999999998</v>
      </c>
      <c r="M65" s="25" t="s">
        <v>1153</v>
      </c>
      <c r="N65" s="65">
        <f>AVERAGE(2499,3200,2698,3050,2689,3170,2648,2689,2748,2598,2844)</f>
        <v>2803</v>
      </c>
      <c r="O65" s="25" t="s">
        <v>1153</v>
      </c>
      <c r="P65" s="65">
        <f>3500*CA.US</f>
        <v>2660</v>
      </c>
      <c r="Q65" s="25" t="s">
        <v>925</v>
      </c>
      <c r="R65" s="66" t="s">
        <v>537</v>
      </c>
      <c r="S65" s="65">
        <v>5250</v>
      </c>
      <c r="T65" s="25" t="s">
        <v>681</v>
      </c>
      <c r="U65" s="66" t="s">
        <v>633</v>
      </c>
    </row>
    <row r="66" spans="1:21" ht="12.6" customHeight="1">
      <c r="A66" s="73" t="s">
        <v>35</v>
      </c>
      <c r="B66" s="46" t="s">
        <v>642</v>
      </c>
      <c r="C66" s="9">
        <v>400</v>
      </c>
      <c r="D66" s="10">
        <v>4</v>
      </c>
      <c r="E66" s="50">
        <f t="shared" si="9"/>
        <v>640</v>
      </c>
      <c r="F66" s="9" t="s">
        <v>36</v>
      </c>
      <c r="G66" s="75">
        <v>3.3</v>
      </c>
      <c r="H66" s="76">
        <v>2.1</v>
      </c>
      <c r="I66" s="9">
        <v>232.7</v>
      </c>
      <c r="J66" s="9">
        <v>128</v>
      </c>
      <c r="K66" s="10" t="s">
        <v>40</v>
      </c>
      <c r="L66" s="65">
        <f>AVERAGE(4500,4429,4580)</f>
        <v>4503</v>
      </c>
      <c r="M66" s="25" t="s">
        <v>1153</v>
      </c>
      <c r="N66" s="65">
        <f>AVERAGE(5800,5525,6100)</f>
        <v>5808.333333333333</v>
      </c>
      <c r="O66" s="25" t="s">
        <v>1171</v>
      </c>
      <c r="P66" s="65" t="s">
        <v>14</v>
      </c>
      <c r="Q66" s="25" t="s">
        <v>14</v>
      </c>
      <c r="R66" s="66" t="s">
        <v>14</v>
      </c>
      <c r="S66" s="65">
        <f>7995*CA.US</f>
        <v>6076.2</v>
      </c>
      <c r="T66" s="25" t="s">
        <v>954</v>
      </c>
      <c r="U66" s="66" t="s">
        <v>873</v>
      </c>
    </row>
    <row r="67" spans="1:21" ht="12.6" customHeight="1">
      <c r="A67" s="67" t="s">
        <v>35</v>
      </c>
      <c r="B67" s="58" t="s">
        <v>786</v>
      </c>
      <c r="C67" s="36">
        <v>400</v>
      </c>
      <c r="D67" s="71">
        <v>5.6</v>
      </c>
      <c r="E67" s="52">
        <f t="shared" si="9"/>
        <v>640</v>
      </c>
      <c r="F67" s="36" t="s">
        <v>36</v>
      </c>
      <c r="G67" s="59">
        <v>3.5</v>
      </c>
      <c r="H67" s="40">
        <v>1.25</v>
      </c>
      <c r="I67" s="36">
        <v>256.60000000000002</v>
      </c>
      <c r="J67" s="36">
        <v>90</v>
      </c>
      <c r="K67" s="71">
        <v>77</v>
      </c>
      <c r="L67" s="61">
        <f>AVERAGE(770,771,600,620,718,730,761,665,750,780,745,762)</f>
        <v>722.66666666666663</v>
      </c>
      <c r="M67" s="168" t="s">
        <v>1171</v>
      </c>
      <c r="N67" s="61">
        <f>AVERAGE(900,870,843,842,810,813,861,945,850,988,830)</f>
        <v>868.36363636363637</v>
      </c>
      <c r="O67" s="68" t="s">
        <v>1153</v>
      </c>
      <c r="P67" s="61">
        <v>840</v>
      </c>
      <c r="Q67" s="68" t="s">
        <v>1153</v>
      </c>
      <c r="R67" s="183" t="s">
        <v>633</v>
      </c>
      <c r="S67" s="61">
        <v>910</v>
      </c>
      <c r="T67" s="68" t="s">
        <v>1153</v>
      </c>
      <c r="U67" s="183" t="s">
        <v>30</v>
      </c>
    </row>
    <row r="68" spans="1:21" ht="12.6" customHeight="1">
      <c r="A68" s="73" t="s">
        <v>35</v>
      </c>
      <c r="B68" s="46" t="s">
        <v>759</v>
      </c>
      <c r="C68" s="9">
        <v>500</v>
      </c>
      <c r="D68" s="10">
        <v>4</v>
      </c>
      <c r="E68" s="50">
        <f t="shared" si="9"/>
        <v>800</v>
      </c>
      <c r="F68" s="9" t="s">
        <v>36</v>
      </c>
      <c r="G68" s="75">
        <v>4.5</v>
      </c>
      <c r="H68" s="76">
        <v>3.87</v>
      </c>
      <c r="I68" s="9">
        <v>387</v>
      </c>
      <c r="J68" s="9">
        <v>146</v>
      </c>
      <c r="K68" s="10" t="s">
        <v>40</v>
      </c>
      <c r="L68" s="65">
        <f>AVERAGE(3105,3495,4049,3675,4050,3478,3300,3919,4000,4122,3801,3900,3929,3600)</f>
        <v>3744.5</v>
      </c>
      <c r="M68" s="25" t="s">
        <v>1153</v>
      </c>
      <c r="N68" s="65">
        <f>AVERAGE(4299,3700,5171,4825,4399,4330,4310)</f>
        <v>4433.4285714285716</v>
      </c>
      <c r="O68" s="25" t="s">
        <v>1153</v>
      </c>
      <c r="P68" s="65">
        <v>4600</v>
      </c>
      <c r="Q68" s="25" t="s">
        <v>1153</v>
      </c>
      <c r="R68" s="50" t="s">
        <v>28</v>
      </c>
      <c r="S68" s="65">
        <v>5000</v>
      </c>
      <c r="T68" s="25" t="s">
        <v>925</v>
      </c>
      <c r="U68" s="50" t="s">
        <v>30</v>
      </c>
    </row>
    <row r="69" spans="1:21" ht="12.6" customHeight="1">
      <c r="A69" s="73" t="s">
        <v>35</v>
      </c>
      <c r="B69" s="46" t="s">
        <v>760</v>
      </c>
      <c r="C69" s="9">
        <v>500</v>
      </c>
      <c r="D69" s="10">
        <v>4</v>
      </c>
      <c r="E69" s="50">
        <f t="shared" si="9"/>
        <v>800</v>
      </c>
      <c r="F69" s="9" t="s">
        <v>36</v>
      </c>
      <c r="G69" s="75">
        <v>3.7</v>
      </c>
      <c r="H69" s="76">
        <v>3.19</v>
      </c>
      <c r="I69" s="9">
        <v>383</v>
      </c>
      <c r="J69" s="9">
        <v>146</v>
      </c>
      <c r="K69" s="10" t="s">
        <v>40</v>
      </c>
      <c r="L69" s="65">
        <f>AVERAGE(6500,6250,6552,6550,7010,7101)</f>
        <v>6660.5</v>
      </c>
      <c r="M69" s="25" t="s">
        <v>1110</v>
      </c>
      <c r="N69" s="65">
        <f>AVERAGE(7180,7410,7900,7898)</f>
        <v>7597</v>
      </c>
      <c r="O69" s="25" t="s">
        <v>1171</v>
      </c>
      <c r="P69" s="65">
        <v>7690</v>
      </c>
      <c r="Q69" s="25" t="s">
        <v>681</v>
      </c>
      <c r="R69" s="50" t="s">
        <v>633</v>
      </c>
      <c r="S69" s="65">
        <v>7830</v>
      </c>
      <c r="T69" s="25" t="s">
        <v>681</v>
      </c>
      <c r="U69" s="50" t="s">
        <v>633</v>
      </c>
    </row>
    <row r="70" spans="1:21" ht="12.6" customHeight="1">
      <c r="A70" s="67" t="s">
        <v>35</v>
      </c>
      <c r="B70" s="58" t="s">
        <v>787</v>
      </c>
      <c r="C70" s="36">
        <v>500</v>
      </c>
      <c r="D70" s="71">
        <v>4.5</v>
      </c>
      <c r="E70" s="52">
        <f t="shared" si="9"/>
        <v>800</v>
      </c>
      <c r="F70" s="36" t="s">
        <v>36</v>
      </c>
      <c r="G70" s="59">
        <v>5</v>
      </c>
      <c r="H70" s="40">
        <v>3</v>
      </c>
      <c r="I70" s="36">
        <v>390</v>
      </c>
      <c r="J70" s="36">
        <v>130</v>
      </c>
      <c r="K70" s="71" t="s">
        <v>38</v>
      </c>
      <c r="L70" s="61">
        <f>AVERAGE(2062,2250,2300,2800,2050,1900,2081,2449)</f>
        <v>2236.5</v>
      </c>
      <c r="M70" s="168" t="s">
        <v>1118</v>
      </c>
      <c r="N70" s="61">
        <f>AVERAGE(3363,2848,3862,3495)</f>
        <v>3392</v>
      </c>
      <c r="O70" s="68" t="s">
        <v>1153</v>
      </c>
      <c r="P70" s="61">
        <v>2472</v>
      </c>
      <c r="Q70" s="68" t="s">
        <v>925</v>
      </c>
      <c r="R70" s="183" t="s">
        <v>28</v>
      </c>
      <c r="S70" s="61">
        <v>4460</v>
      </c>
      <c r="T70" s="68" t="s">
        <v>476</v>
      </c>
      <c r="U70" s="183" t="s">
        <v>28</v>
      </c>
    </row>
    <row r="71" spans="1:21" ht="12.6" customHeight="1">
      <c r="A71" s="73" t="s">
        <v>35</v>
      </c>
      <c r="B71" s="46" t="s">
        <v>788</v>
      </c>
      <c r="C71" s="9">
        <v>600</v>
      </c>
      <c r="D71" s="10">
        <v>4</v>
      </c>
      <c r="E71" s="50">
        <f t="shared" si="9"/>
        <v>960</v>
      </c>
      <c r="F71" s="9" t="s">
        <v>36</v>
      </c>
      <c r="G71" s="75">
        <v>6</v>
      </c>
      <c r="H71" s="76">
        <v>6</v>
      </c>
      <c r="I71" s="9">
        <v>456</v>
      </c>
      <c r="J71" s="9">
        <v>167</v>
      </c>
      <c r="K71" s="10" t="s">
        <v>38</v>
      </c>
      <c r="L71" s="65">
        <f>AVERAGE(2980,2451,2200,2550)</f>
        <v>2545.25</v>
      </c>
      <c r="M71" s="9" t="s">
        <v>1110</v>
      </c>
      <c r="N71" s="65">
        <f>AVERAGE(4307,3650,4684,4820,4210,5500,4295,4895,4400)</f>
        <v>4529</v>
      </c>
      <c r="O71" s="9" t="s">
        <v>1153</v>
      </c>
      <c r="P71" s="65">
        <v>3500</v>
      </c>
      <c r="Q71" s="9" t="s">
        <v>892</v>
      </c>
      <c r="R71" s="50" t="s">
        <v>30</v>
      </c>
      <c r="S71" s="65">
        <v>5295</v>
      </c>
      <c r="T71" s="9" t="s">
        <v>457</v>
      </c>
      <c r="U71" s="50" t="s">
        <v>456</v>
      </c>
    </row>
    <row r="72" spans="1:21" ht="12.6" customHeight="1">
      <c r="A72" s="73" t="s">
        <v>35</v>
      </c>
      <c r="B72" s="46" t="s">
        <v>747</v>
      </c>
      <c r="C72" s="9">
        <v>600</v>
      </c>
      <c r="D72" s="10">
        <v>4</v>
      </c>
      <c r="E72" s="50">
        <f t="shared" si="9"/>
        <v>960</v>
      </c>
      <c r="F72" s="9" t="s">
        <v>36</v>
      </c>
      <c r="G72" s="75">
        <v>5.5</v>
      </c>
      <c r="H72" s="76">
        <v>5.36</v>
      </c>
      <c r="I72" s="9">
        <v>456</v>
      </c>
      <c r="J72" s="9">
        <v>168</v>
      </c>
      <c r="K72" s="10" t="s">
        <v>40</v>
      </c>
      <c r="L72" s="65">
        <f>AVERAGE(4055.445,4315,4899,4895,4500)</f>
        <v>4532.8890000000001</v>
      </c>
      <c r="M72" s="9" t="s">
        <v>1171</v>
      </c>
      <c r="N72" s="65">
        <f>AVERAGE(6372,4938,5460,5989,6200,5598,5848,5910)</f>
        <v>5789.375</v>
      </c>
      <c r="O72" s="9" t="s">
        <v>1153</v>
      </c>
      <c r="P72" s="65">
        <v>5800</v>
      </c>
      <c r="Q72" s="9" t="s">
        <v>1061</v>
      </c>
      <c r="R72" s="50" t="s">
        <v>30</v>
      </c>
      <c r="S72" s="65">
        <v>6550</v>
      </c>
      <c r="T72" s="9" t="s">
        <v>892</v>
      </c>
      <c r="U72" s="50" t="s">
        <v>30</v>
      </c>
    </row>
    <row r="73" spans="1:21" ht="12.6" customHeight="1">
      <c r="A73" s="67" t="s">
        <v>35</v>
      </c>
      <c r="B73" s="58" t="s">
        <v>748</v>
      </c>
      <c r="C73" s="36">
        <v>600</v>
      </c>
      <c r="D73" s="71">
        <v>4</v>
      </c>
      <c r="E73" s="52">
        <f t="shared" si="9"/>
        <v>960</v>
      </c>
      <c r="F73" s="36" t="s">
        <v>36</v>
      </c>
      <c r="G73" s="59">
        <v>4.5</v>
      </c>
      <c r="H73" s="40">
        <v>3.92</v>
      </c>
      <c r="I73" s="36">
        <v>447</v>
      </c>
      <c r="J73" s="36">
        <v>168</v>
      </c>
      <c r="K73" s="71" t="s">
        <v>40</v>
      </c>
      <c r="L73" s="61">
        <f>AVERAGE(7598,7598,8607)</f>
        <v>7934.333333333333</v>
      </c>
      <c r="M73" s="52" t="s">
        <v>1118</v>
      </c>
      <c r="N73" s="61">
        <f>AVERAGE(9514,7942)</f>
        <v>8728</v>
      </c>
      <c r="O73" s="168" t="s">
        <v>1153</v>
      </c>
      <c r="P73" s="61" t="s">
        <v>14</v>
      </c>
      <c r="Q73" s="36" t="s">
        <v>14</v>
      </c>
      <c r="R73" s="52" t="s">
        <v>14</v>
      </c>
      <c r="S73" s="61">
        <f>12500*CA.US</f>
        <v>9500</v>
      </c>
      <c r="T73" s="36" t="s">
        <v>944</v>
      </c>
      <c r="U73" s="52" t="s">
        <v>873</v>
      </c>
    </row>
    <row r="74" spans="1:21" ht="12.6" customHeight="1">
      <c r="A74" s="73" t="s">
        <v>35</v>
      </c>
      <c r="B74" s="46" t="s">
        <v>749</v>
      </c>
      <c r="C74" s="9">
        <v>800</v>
      </c>
      <c r="D74" s="10">
        <v>5.6</v>
      </c>
      <c r="E74" s="50">
        <f t="shared" si="9"/>
        <v>1280</v>
      </c>
      <c r="F74" s="9" t="s">
        <v>36</v>
      </c>
      <c r="G74" s="75">
        <v>6</v>
      </c>
      <c r="H74" s="76">
        <v>4.5</v>
      </c>
      <c r="I74" s="9">
        <v>461</v>
      </c>
      <c r="J74" s="9">
        <v>162</v>
      </c>
      <c r="K74" s="10" t="s">
        <v>40</v>
      </c>
      <c r="L74" s="65">
        <f>AVERAGE(7700,8230,5300,6210,7700,8500,8600,6699,6699,6960)</f>
        <v>7259.8</v>
      </c>
      <c r="M74" s="9" t="s">
        <v>1110</v>
      </c>
      <c r="N74" s="65">
        <f>AVERAGE(8420,8699,7910,7700,8510,8358,9235,10029,9810,10009,9399)</f>
        <v>8916.2727272727279</v>
      </c>
      <c r="O74" s="9" t="s">
        <v>1154</v>
      </c>
      <c r="P74" s="65">
        <v>8200</v>
      </c>
      <c r="Q74" s="9" t="s">
        <v>1153</v>
      </c>
      <c r="R74" s="50" t="s">
        <v>633</v>
      </c>
      <c r="S74" s="65">
        <v>9300</v>
      </c>
      <c r="T74" s="9" t="s">
        <v>1061</v>
      </c>
      <c r="U74" s="50" t="s">
        <v>28</v>
      </c>
    </row>
    <row r="75" spans="1:21" ht="12.6" customHeight="1">
      <c r="A75" s="67" t="s">
        <v>35</v>
      </c>
      <c r="B75" s="58" t="s">
        <v>789</v>
      </c>
      <c r="C75" s="36">
        <v>1200</v>
      </c>
      <c r="D75" s="71">
        <v>5.6</v>
      </c>
      <c r="E75" s="52">
        <f t="shared" si="9"/>
        <v>1920</v>
      </c>
      <c r="F75" s="36" t="s">
        <v>36</v>
      </c>
      <c r="G75" s="59">
        <v>14</v>
      </c>
      <c r="H75" s="40">
        <v>16.5</v>
      </c>
      <c r="I75" s="36">
        <v>836</v>
      </c>
      <c r="J75" s="36">
        <v>228</v>
      </c>
      <c r="K75" s="71" t="s">
        <v>38</v>
      </c>
      <c r="L75" s="61">
        <f>AVERAGE(0)</f>
        <v>0</v>
      </c>
      <c r="M75" s="52" t="s">
        <v>14</v>
      </c>
      <c r="N75" s="61">
        <f>AVERAGE(0)</f>
        <v>0</v>
      </c>
      <c r="O75" s="168" t="s">
        <v>14</v>
      </c>
      <c r="P75" s="61" t="s">
        <v>680</v>
      </c>
      <c r="Q75" s="36" t="s">
        <v>681</v>
      </c>
      <c r="R75" s="52" t="s">
        <v>30</v>
      </c>
      <c r="S75" s="61" t="s">
        <v>714</v>
      </c>
      <c r="T75" s="36" t="s">
        <v>723</v>
      </c>
      <c r="U75" s="52" t="s">
        <v>30</v>
      </c>
    </row>
    <row r="76" spans="1:21" ht="12.6" customHeight="1">
      <c r="A76" s="73" t="s">
        <v>14</v>
      </c>
      <c r="B76" s="46" t="s">
        <v>14</v>
      </c>
      <c r="C76" s="9" t="s">
        <v>14</v>
      </c>
      <c r="D76" s="10" t="s">
        <v>14</v>
      </c>
      <c r="E76" s="9" t="s">
        <v>14</v>
      </c>
      <c r="F76" s="9" t="s">
        <v>14</v>
      </c>
      <c r="G76" s="47" t="s">
        <v>14</v>
      </c>
      <c r="H76" s="76" t="s">
        <v>14</v>
      </c>
      <c r="I76" s="9" t="s">
        <v>14</v>
      </c>
      <c r="J76" s="9" t="s">
        <v>14</v>
      </c>
      <c r="K76" s="10" t="s">
        <v>14</v>
      </c>
      <c r="L76" s="9" t="s">
        <v>14</v>
      </c>
      <c r="M76" s="9" t="s">
        <v>14</v>
      </c>
      <c r="N76" s="9" t="s">
        <v>14</v>
      </c>
      <c r="O76" s="9" t="s">
        <v>14</v>
      </c>
      <c r="P76" s="9" t="s">
        <v>14</v>
      </c>
      <c r="Q76" s="9" t="s">
        <v>14</v>
      </c>
      <c r="R76" s="9" t="s">
        <v>14</v>
      </c>
      <c r="S76" s="9" t="s">
        <v>14</v>
      </c>
      <c r="T76" s="9" t="s">
        <v>14</v>
      </c>
      <c r="U76" s="9" t="s">
        <v>14</v>
      </c>
    </row>
    <row r="77" spans="1:21" ht="12.6" customHeight="1">
      <c r="A77" s="119" t="s">
        <v>251</v>
      </c>
      <c r="B77" s="57"/>
      <c r="C77" s="36" t="s">
        <v>14</v>
      </c>
      <c r="D77" s="71" t="s">
        <v>14</v>
      </c>
      <c r="E77" s="36" t="s">
        <v>14</v>
      </c>
      <c r="F77" s="68" t="s">
        <v>14</v>
      </c>
      <c r="G77" s="41" t="s">
        <v>14</v>
      </c>
      <c r="H77" s="40" t="s">
        <v>14</v>
      </c>
      <c r="I77" s="36" t="s">
        <v>14</v>
      </c>
      <c r="J77" s="36" t="s">
        <v>14</v>
      </c>
      <c r="K77" s="36" t="s">
        <v>14</v>
      </c>
      <c r="L77" s="36" t="s">
        <v>14</v>
      </c>
      <c r="M77" s="36" t="s">
        <v>14</v>
      </c>
      <c r="N77" s="36" t="s">
        <v>14</v>
      </c>
      <c r="O77" s="36" t="s">
        <v>14</v>
      </c>
      <c r="P77" s="36" t="s">
        <v>14</v>
      </c>
      <c r="Q77" s="36" t="s">
        <v>14</v>
      </c>
      <c r="R77" s="36" t="s">
        <v>14</v>
      </c>
      <c r="S77" s="36" t="s">
        <v>14</v>
      </c>
      <c r="T77" s="36" t="s">
        <v>14</v>
      </c>
      <c r="U77" s="36" t="s">
        <v>14</v>
      </c>
    </row>
    <row r="78" spans="1:21" ht="12.6" customHeight="1">
      <c r="A78" s="73" t="s">
        <v>35</v>
      </c>
      <c r="B78" s="46" t="s">
        <v>136</v>
      </c>
      <c r="C78" s="9" t="s">
        <v>252</v>
      </c>
      <c r="D78" s="47">
        <v>1.4</v>
      </c>
      <c r="E78" s="184">
        <v>1.4</v>
      </c>
      <c r="F78" s="9" t="s">
        <v>36</v>
      </c>
      <c r="G78" s="75" t="s">
        <v>122</v>
      </c>
      <c r="H78" s="76">
        <v>0.2</v>
      </c>
      <c r="I78" s="9">
        <v>27.3</v>
      </c>
      <c r="J78" s="9">
        <v>73</v>
      </c>
      <c r="K78" s="10" t="s">
        <v>122</v>
      </c>
      <c r="L78" s="65">
        <f>AVERAGE(125,110,128,103,113,129,110,128,115,113,110)</f>
        <v>116.72727272727273</v>
      </c>
      <c r="M78" s="25" t="s">
        <v>1171</v>
      </c>
      <c r="N78" s="65">
        <f>AVERAGE(102,158,261,152,137,144,150,140,150,145,145)</f>
        <v>153.09090909090909</v>
      </c>
      <c r="O78" s="25" t="s">
        <v>1171</v>
      </c>
      <c r="P78" s="65">
        <v>131</v>
      </c>
      <c r="Q78" s="25" t="s">
        <v>951</v>
      </c>
      <c r="R78" s="50" t="s">
        <v>946</v>
      </c>
      <c r="S78" s="65">
        <v>165</v>
      </c>
      <c r="T78" s="25" t="s">
        <v>577</v>
      </c>
      <c r="U78" s="50" t="s">
        <v>26</v>
      </c>
    </row>
    <row r="79" spans="1:21" ht="12.6" customHeight="1">
      <c r="A79" s="73" t="s">
        <v>35</v>
      </c>
      <c r="B79" s="46" t="s">
        <v>137</v>
      </c>
      <c r="C79" s="9" t="s">
        <v>252</v>
      </c>
      <c r="D79" s="47">
        <v>1.4</v>
      </c>
      <c r="E79" s="184">
        <v>1.4</v>
      </c>
      <c r="F79" s="9" t="s">
        <v>36</v>
      </c>
      <c r="G79" s="75" t="s">
        <v>122</v>
      </c>
      <c r="H79" s="76">
        <v>0.22</v>
      </c>
      <c r="I79" s="9">
        <v>27.2</v>
      </c>
      <c r="J79" s="9">
        <v>72.8</v>
      </c>
      <c r="K79" s="10" t="s">
        <v>122</v>
      </c>
      <c r="L79" s="65">
        <f>AVERAGE(148,159,140,160,150,161,139,149,110,139,150,161,154,130)</f>
        <v>146.42857142857142</v>
      </c>
      <c r="M79" s="25" t="s">
        <v>1153</v>
      </c>
      <c r="N79" s="65">
        <f>AVERAGE(170,194,214,212,172,209,195,174,175)</f>
        <v>190.55555555555554</v>
      </c>
      <c r="O79" s="25" t="s">
        <v>1171</v>
      </c>
      <c r="P79" s="65">
        <f>350*CA.US</f>
        <v>266</v>
      </c>
      <c r="Q79" s="25" t="s">
        <v>1153</v>
      </c>
      <c r="R79" s="50" t="s">
        <v>873</v>
      </c>
      <c r="S79" s="65">
        <v>225</v>
      </c>
      <c r="T79" s="25" t="s">
        <v>925</v>
      </c>
      <c r="U79" s="50" t="s">
        <v>27</v>
      </c>
    </row>
    <row r="80" spans="1:21" ht="12.6" customHeight="1">
      <c r="A80" s="67" t="s">
        <v>35</v>
      </c>
      <c r="B80" s="58" t="s">
        <v>389</v>
      </c>
      <c r="C80" s="36" t="s">
        <v>252</v>
      </c>
      <c r="D80" s="41">
        <v>1.4</v>
      </c>
      <c r="E80" s="185">
        <v>1.4</v>
      </c>
      <c r="F80" s="36" t="s">
        <v>36</v>
      </c>
      <c r="G80" s="59" t="s">
        <v>122</v>
      </c>
      <c r="H80" s="40">
        <v>0.22500000000000001</v>
      </c>
      <c r="I80" s="36">
        <v>27.2</v>
      </c>
      <c r="J80" s="36">
        <v>72.8</v>
      </c>
      <c r="K80" s="71" t="s">
        <v>122</v>
      </c>
      <c r="L80" s="61">
        <f>AVERAGE(315,296,310,320,325,300,275,316,295,309,315,320,269)</f>
        <v>305</v>
      </c>
      <c r="M80" s="36" t="s">
        <v>1002</v>
      </c>
      <c r="N80" s="61">
        <f>AVERAGE(350,320,320,350,371,356,366,380,350,357,351)</f>
        <v>351.90909090909093</v>
      </c>
      <c r="O80" s="36" t="s">
        <v>1153</v>
      </c>
      <c r="P80" s="61">
        <f>495*CA.US</f>
        <v>376.2</v>
      </c>
      <c r="Q80" s="36" t="s">
        <v>1153</v>
      </c>
      <c r="R80" s="52" t="s">
        <v>873</v>
      </c>
      <c r="S80" s="61">
        <v>385</v>
      </c>
      <c r="T80" s="36" t="s">
        <v>953</v>
      </c>
      <c r="U80" s="52" t="s">
        <v>946</v>
      </c>
    </row>
    <row r="81" spans="1:21" ht="12.6" customHeight="1">
      <c r="A81" s="73" t="s">
        <v>35</v>
      </c>
      <c r="B81" s="46" t="s">
        <v>138</v>
      </c>
      <c r="C81" s="9" t="s">
        <v>253</v>
      </c>
      <c r="D81" s="47">
        <v>2</v>
      </c>
      <c r="E81" s="184">
        <v>2</v>
      </c>
      <c r="F81" s="9" t="s">
        <v>36</v>
      </c>
      <c r="G81" s="75" t="s">
        <v>122</v>
      </c>
      <c r="H81" s="76">
        <v>0.24</v>
      </c>
      <c r="I81" s="9">
        <v>50.5</v>
      </c>
      <c r="J81" s="9" t="s">
        <v>14</v>
      </c>
      <c r="K81" s="10" t="s">
        <v>122</v>
      </c>
      <c r="L81" s="65">
        <f>AVERAGE(104,103,106,110,107,113)</f>
        <v>107.16666666666667</v>
      </c>
      <c r="M81" s="118" t="s">
        <v>954</v>
      </c>
      <c r="N81" s="65">
        <f>AVERAGE(185,155,146,155,150,158,171,145,158,169,145,152,155)</f>
        <v>157.23076923076923</v>
      </c>
      <c r="O81" s="25" t="s">
        <v>1171</v>
      </c>
      <c r="P81" s="65">
        <v>140</v>
      </c>
      <c r="Q81" s="25" t="s">
        <v>925</v>
      </c>
      <c r="R81" s="50" t="s">
        <v>28</v>
      </c>
      <c r="S81" s="65">
        <v>200</v>
      </c>
      <c r="T81" s="25" t="s">
        <v>708</v>
      </c>
      <c r="U81" s="50" t="s">
        <v>28</v>
      </c>
    </row>
    <row r="82" spans="1:21" ht="12.6" customHeight="1">
      <c r="A82" s="73" t="s">
        <v>35</v>
      </c>
      <c r="B82" s="46" t="s">
        <v>139</v>
      </c>
      <c r="C82" s="9" t="s">
        <v>253</v>
      </c>
      <c r="D82" s="47">
        <v>2</v>
      </c>
      <c r="E82" s="184">
        <v>2</v>
      </c>
      <c r="F82" s="9" t="s">
        <v>36</v>
      </c>
      <c r="G82" s="75" t="s">
        <v>122</v>
      </c>
      <c r="H82" s="76">
        <v>0.26500000000000001</v>
      </c>
      <c r="I82" s="9">
        <v>57.9</v>
      </c>
      <c r="J82" s="9">
        <v>71.8</v>
      </c>
      <c r="K82" s="10" t="s">
        <v>122</v>
      </c>
      <c r="L82" s="65">
        <f>AVERAGE(118,150,179,135,150,136,158,113,140,150,118,115)</f>
        <v>138.5</v>
      </c>
      <c r="M82" s="118" t="s">
        <v>1171</v>
      </c>
      <c r="N82" s="65">
        <f>AVERAGE(175,184,223,250,179,150,183,167,201)</f>
        <v>190.22222222222223</v>
      </c>
      <c r="O82" s="25" t="s">
        <v>1153</v>
      </c>
      <c r="P82" s="65">
        <f>249*CA.US</f>
        <v>189.24</v>
      </c>
      <c r="Q82" s="25" t="s">
        <v>925</v>
      </c>
      <c r="R82" s="50" t="s">
        <v>537</v>
      </c>
      <c r="S82" s="65">
        <v>250</v>
      </c>
      <c r="T82" s="25" t="s">
        <v>925</v>
      </c>
      <c r="U82" s="50" t="s">
        <v>27</v>
      </c>
    </row>
    <row r="83" spans="1:21" ht="12.6" customHeight="1">
      <c r="A83" s="67" t="s">
        <v>35</v>
      </c>
      <c r="B83" s="58" t="s">
        <v>390</v>
      </c>
      <c r="C83" s="36" t="s">
        <v>253</v>
      </c>
      <c r="D83" s="41">
        <v>2</v>
      </c>
      <c r="E83" s="185">
        <v>2</v>
      </c>
      <c r="F83" s="36" t="s">
        <v>36</v>
      </c>
      <c r="G83" s="59" t="s">
        <v>122</v>
      </c>
      <c r="H83" s="40">
        <v>0.32500000000000001</v>
      </c>
      <c r="I83" s="36">
        <v>53</v>
      </c>
      <c r="J83" s="36">
        <v>71.8</v>
      </c>
      <c r="K83" s="71" t="s">
        <v>122</v>
      </c>
      <c r="L83" s="61">
        <f>AVERAGE(225,285,305,285,290,300,315,300,310,275,263,279)</f>
        <v>286</v>
      </c>
      <c r="M83" s="36" t="s">
        <v>1171</v>
      </c>
      <c r="N83" s="61">
        <f>AVERAGE(350,372,320,333,350,350,360,327,350,352,349)</f>
        <v>346.63636363636363</v>
      </c>
      <c r="O83" s="36" t="s">
        <v>1171</v>
      </c>
      <c r="P83" s="61">
        <v>3430</v>
      </c>
      <c r="Q83" s="36" t="s">
        <v>1153</v>
      </c>
      <c r="R83" s="52" t="s">
        <v>633</v>
      </c>
      <c r="S83" s="61">
        <f>495*CA.US</f>
        <v>376.2</v>
      </c>
      <c r="T83" s="36" t="s">
        <v>944</v>
      </c>
      <c r="U83" s="52" t="s">
        <v>873</v>
      </c>
    </row>
    <row r="85" spans="1:21" ht="12.6" customHeight="1">
      <c r="L85" s="20" t="s">
        <v>14</v>
      </c>
    </row>
  </sheetData>
  <sheetProtection password="990B" sheet="1" objects="1" scenarios="1"/>
  <sortState ref="A6:Y69">
    <sortCondition ref="C6:C69"/>
    <sortCondition ref="D6:D69"/>
  </sortState>
  <phoneticPr fontId="0" type="noConversion"/>
  <conditionalFormatting sqref="O2:O5 M2:M5">
    <cfRule type="cellIs" dxfId="20" priority="5" stopIfTrue="1" operator="lessThan">
      <formula>".08-09"</formula>
    </cfRule>
  </conditionalFormatting>
  <pageMargins left="0.3" right="0" top="0.5" bottom="0" header="0.5" footer="0.511811023622047"/>
  <pageSetup orientation="landscape" r:id="rId1"/>
  <headerFooter alignWithMargins="0">
    <oddHeader>&amp;R&amp;9(&amp;P of &amp;N)</oddHeader>
  </headerFooter>
  <rowBreaks count="1" manualBreakCount="1">
    <brk id="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U42"/>
  <sheetViews>
    <sheetView zoomScaleNormal="100" workbookViewId="0"/>
  </sheetViews>
  <sheetFormatPr defaultColWidth="9.140625" defaultRowHeight="12.6" customHeight="1"/>
  <cols>
    <col min="1" max="1" width="5.5703125" style="26" customWidth="1"/>
    <col min="2" max="2" width="21.85546875" style="140" customWidth="1"/>
    <col min="3" max="3" width="6.28515625" style="25" customWidth="1"/>
    <col min="4" max="4" width="6.7109375" style="25" customWidth="1"/>
    <col min="5" max="5" width="8" style="25" customWidth="1"/>
    <col min="6" max="6" width="4.42578125" style="25" customWidth="1"/>
    <col min="7" max="7" width="4.7109375" style="47" customWidth="1"/>
    <col min="8" max="8" width="4.7109375" style="76" customWidth="1"/>
    <col min="9" max="11" width="4.7109375" style="9" customWidth="1"/>
    <col min="12" max="12" width="5.28515625" style="9" customWidth="1"/>
    <col min="13" max="13" width="5.28515625" style="10" customWidth="1"/>
    <col min="14" max="14" width="5.28515625" style="9" customWidth="1"/>
    <col min="15" max="15" width="5.28515625" style="10" customWidth="1"/>
    <col min="16" max="16" width="5.28515625" style="9" customWidth="1"/>
    <col min="17" max="17" width="5.28515625" style="10" customWidth="1"/>
    <col min="18" max="18" width="6.5703125" style="26" customWidth="1"/>
    <col min="19" max="19" width="5.28515625" style="9" customWidth="1"/>
    <col min="20" max="20" width="5.28515625" style="10" customWidth="1"/>
    <col min="21" max="21" width="6.5703125" style="26" customWidth="1"/>
    <col min="22" max="16384" width="9.140625" style="26"/>
  </cols>
  <sheetData>
    <row r="1" spans="1:21" ht="12.6" customHeight="1">
      <c r="A1" s="73" t="str">
        <f>i!A1</f>
        <v>Lens$db: Lens Price database</v>
      </c>
      <c r="B1" s="46"/>
      <c r="C1" s="9"/>
      <c r="D1" s="10"/>
      <c r="E1" s="9"/>
      <c r="F1" s="9"/>
      <c r="I1" s="9" t="s">
        <v>14</v>
      </c>
      <c r="K1" s="10" t="s">
        <v>14</v>
      </c>
      <c r="M1" s="25"/>
      <c r="O1" s="25"/>
      <c r="P1" s="9" t="s">
        <v>14</v>
      </c>
      <c r="Q1" s="25"/>
      <c r="R1" s="22" t="str">
        <f>i!B3</f>
        <v>.2018-09-01</v>
      </c>
      <c r="T1" s="25"/>
      <c r="U1" s="9" t="s">
        <v>14</v>
      </c>
    </row>
    <row r="2" spans="1:21" s="14" customFormat="1" ht="12.6" customHeight="1">
      <c r="A2" s="73" t="str">
        <f>i!A3</f>
        <v>v.34</v>
      </c>
      <c r="B2" s="24"/>
      <c r="C2" s="177"/>
      <c r="D2" s="13"/>
      <c r="E2" s="177"/>
      <c r="F2" s="13"/>
      <c r="G2" s="34"/>
      <c r="H2" s="21"/>
      <c r="I2" s="21"/>
      <c r="J2" s="21"/>
      <c r="K2" s="20"/>
      <c r="L2" s="22"/>
      <c r="M2" s="10"/>
      <c r="N2" s="36"/>
      <c r="O2" s="10"/>
      <c r="P2" s="36"/>
      <c r="Q2" s="10"/>
      <c r="R2" s="36"/>
      <c r="S2" s="36"/>
      <c r="T2" s="10"/>
      <c r="U2" s="36"/>
    </row>
    <row r="3" spans="1:21" s="24" customFormat="1" ht="12.6" customHeight="1">
      <c r="C3" s="119"/>
      <c r="D3" s="178"/>
      <c r="E3" s="119"/>
      <c r="F3" s="178"/>
      <c r="G3" s="41"/>
      <c r="H3" s="39"/>
      <c r="I3" s="39"/>
      <c r="J3" s="39"/>
      <c r="K3" s="39"/>
      <c r="L3" s="42"/>
      <c r="M3" s="43"/>
      <c r="N3" s="43" t="s">
        <v>15</v>
      </c>
      <c r="O3" s="43"/>
      <c r="P3" s="179"/>
      <c r="Q3" s="125"/>
      <c r="R3" s="50" t="s">
        <v>16</v>
      </c>
      <c r="S3" s="36"/>
      <c r="T3" s="43"/>
      <c r="U3" s="52"/>
    </row>
    <row r="4" spans="1:21" ht="12.6" customHeight="1">
      <c r="A4" s="24" t="s">
        <v>1186</v>
      </c>
      <c r="C4" s="25" t="s">
        <v>4</v>
      </c>
      <c r="D4" s="25" t="s">
        <v>9</v>
      </c>
      <c r="E4" s="25" t="s">
        <v>636</v>
      </c>
      <c r="F4" s="123" t="s">
        <v>11</v>
      </c>
      <c r="G4" s="48" t="s">
        <v>264</v>
      </c>
      <c r="H4" s="76" t="s">
        <v>5</v>
      </c>
      <c r="I4" s="9" t="s">
        <v>298</v>
      </c>
      <c r="J4" s="9" t="s">
        <v>299</v>
      </c>
      <c r="K4" s="50" t="s">
        <v>300</v>
      </c>
      <c r="L4" s="51" t="s">
        <v>450</v>
      </c>
      <c r="M4" s="52"/>
      <c r="N4" s="53" t="s">
        <v>17</v>
      </c>
      <c r="O4" s="36"/>
      <c r="P4" s="56"/>
      <c r="Q4" s="43" t="s">
        <v>451</v>
      </c>
      <c r="R4" s="62"/>
      <c r="S4" s="181"/>
      <c r="T4" s="52" t="s">
        <v>7</v>
      </c>
      <c r="U4" s="52"/>
    </row>
    <row r="5" spans="1:21" ht="12.6" customHeight="1">
      <c r="A5" s="57" t="s">
        <v>14</v>
      </c>
      <c r="B5" s="182" t="s">
        <v>14</v>
      </c>
      <c r="C5" s="68" t="s">
        <v>18</v>
      </c>
      <c r="D5" s="68" t="s">
        <v>14</v>
      </c>
      <c r="E5" s="68" t="s">
        <v>18</v>
      </c>
      <c r="F5" s="72" t="s">
        <v>14</v>
      </c>
      <c r="G5" s="59" t="s">
        <v>34</v>
      </c>
      <c r="H5" s="40" t="s">
        <v>19</v>
      </c>
      <c r="I5" s="36" t="s">
        <v>18</v>
      </c>
      <c r="J5" s="36" t="s">
        <v>18</v>
      </c>
      <c r="K5" s="52" t="s">
        <v>18</v>
      </c>
      <c r="L5" s="61" t="s">
        <v>20</v>
      </c>
      <c r="M5" s="52" t="s">
        <v>21</v>
      </c>
      <c r="N5" s="36" t="s">
        <v>20</v>
      </c>
      <c r="O5" s="52" t="s">
        <v>21</v>
      </c>
      <c r="P5" s="61" t="s">
        <v>20</v>
      </c>
      <c r="Q5" s="36" t="s">
        <v>21</v>
      </c>
      <c r="R5" s="52" t="s">
        <v>22</v>
      </c>
      <c r="S5" s="55" t="s">
        <v>20</v>
      </c>
      <c r="T5" s="43" t="s">
        <v>21</v>
      </c>
      <c r="U5" s="62" t="s">
        <v>22</v>
      </c>
    </row>
    <row r="6" spans="1:21" ht="12.6" customHeight="1">
      <c r="A6" s="26" t="s">
        <v>666</v>
      </c>
      <c r="B6" s="140" t="s">
        <v>667</v>
      </c>
      <c r="C6" s="25" t="s">
        <v>668</v>
      </c>
      <c r="D6" s="192">
        <v>4</v>
      </c>
      <c r="E6" s="25" t="s">
        <v>669</v>
      </c>
      <c r="F6" s="74" t="s">
        <v>36</v>
      </c>
      <c r="G6" s="75">
        <v>0.28000000000000003</v>
      </c>
      <c r="H6" s="76">
        <v>1.18</v>
      </c>
      <c r="I6" s="9">
        <v>132</v>
      </c>
      <c r="J6" s="9">
        <v>109.2</v>
      </c>
      <c r="K6" s="9" t="s">
        <v>29</v>
      </c>
      <c r="L6" s="77">
        <f>AVERAGE(2051,2340,2399,2298,2400,2477,2582,2389,2499,2310,2480,2400)</f>
        <v>2385.4166666666665</v>
      </c>
      <c r="M6" s="78" t="s">
        <v>999</v>
      </c>
      <c r="N6" s="65">
        <f>AVERAGE(2450,2429,2374,2375,2590,2399)</f>
        <v>2436.1666666666665</v>
      </c>
      <c r="O6" s="9" t="s">
        <v>1153</v>
      </c>
      <c r="P6" s="65">
        <v>2450</v>
      </c>
      <c r="Q6" s="9" t="s">
        <v>1153</v>
      </c>
      <c r="R6" s="50" t="s">
        <v>28</v>
      </c>
      <c r="S6" s="65">
        <v>2400</v>
      </c>
      <c r="T6" s="9" t="s">
        <v>951</v>
      </c>
      <c r="U6" s="50" t="s">
        <v>946</v>
      </c>
    </row>
    <row r="7" spans="1:21" s="14" customFormat="1" ht="12.6" customHeight="1">
      <c r="A7" s="73" t="s">
        <v>35</v>
      </c>
      <c r="B7" s="26" t="s">
        <v>731</v>
      </c>
      <c r="C7" s="10" t="s">
        <v>42</v>
      </c>
      <c r="D7" s="10">
        <v>2.8</v>
      </c>
      <c r="E7" s="10" t="s">
        <v>43</v>
      </c>
      <c r="F7" s="74" t="s">
        <v>36</v>
      </c>
      <c r="G7" s="75">
        <v>0.28000000000000003</v>
      </c>
      <c r="H7" s="76">
        <v>0.6</v>
      </c>
      <c r="I7" s="9">
        <v>103</v>
      </c>
      <c r="J7" s="9">
        <v>83.5</v>
      </c>
      <c r="K7" s="10">
        <v>77</v>
      </c>
      <c r="L7" s="65">
        <f>AVERAGE(721,520,679,732,679,635,646,596,726,650,670)</f>
        <v>659.4545454545455</v>
      </c>
      <c r="M7" s="118" t="s">
        <v>1171</v>
      </c>
      <c r="N7" s="65">
        <f>AVERAGE(818,799,888,970,929,799)</f>
        <v>867.16666666666663</v>
      </c>
      <c r="O7" s="25" t="s">
        <v>1153</v>
      </c>
      <c r="P7" s="65">
        <v>850</v>
      </c>
      <c r="Q7" s="25" t="s">
        <v>925</v>
      </c>
      <c r="R7" s="50" t="s">
        <v>27</v>
      </c>
      <c r="S7" s="65">
        <v>880</v>
      </c>
      <c r="T7" s="25" t="s">
        <v>925</v>
      </c>
      <c r="U7" s="50" t="s">
        <v>28</v>
      </c>
    </row>
    <row r="8" spans="1:21" s="14" customFormat="1" ht="12.6" customHeight="1">
      <c r="A8" s="73" t="s">
        <v>35</v>
      </c>
      <c r="B8" s="26" t="s">
        <v>732</v>
      </c>
      <c r="C8" s="10" t="s">
        <v>42</v>
      </c>
      <c r="D8" s="10">
        <v>2.8</v>
      </c>
      <c r="E8" s="10" t="s">
        <v>43</v>
      </c>
      <c r="F8" s="74" t="s">
        <v>36</v>
      </c>
      <c r="G8" s="75">
        <v>0.28000000000000003</v>
      </c>
      <c r="H8" s="76">
        <v>0.63500000000000001</v>
      </c>
      <c r="I8" s="9">
        <v>111.6</v>
      </c>
      <c r="J8" s="9">
        <v>88</v>
      </c>
      <c r="K8" s="10">
        <v>82</v>
      </c>
      <c r="L8" s="65">
        <f>AVERAGE(777,800,820,812,811,620,750,883,819,726,752)</f>
        <v>779.09090909090912</v>
      </c>
      <c r="M8" s="25" t="s">
        <v>1171</v>
      </c>
      <c r="N8" s="65">
        <f>AVERAGE(911,899,829,832,879,900,900,995,900,942,970)</f>
        <v>905.18181818181813</v>
      </c>
      <c r="O8" s="25" t="s">
        <v>1171</v>
      </c>
      <c r="P8" s="65">
        <v>1010</v>
      </c>
      <c r="Q8" s="25" t="s">
        <v>1153</v>
      </c>
      <c r="R8" s="50" t="s">
        <v>31</v>
      </c>
      <c r="S8" s="65">
        <f>1285*CA.US</f>
        <v>976.6</v>
      </c>
      <c r="T8" s="25" t="s">
        <v>1061</v>
      </c>
      <c r="U8" s="50" t="s">
        <v>327</v>
      </c>
    </row>
    <row r="9" spans="1:21" s="14" customFormat="1" ht="12.6" customHeight="1">
      <c r="A9" s="73" t="s">
        <v>35</v>
      </c>
      <c r="B9" s="26" t="s">
        <v>884</v>
      </c>
      <c r="C9" s="10" t="s">
        <v>42</v>
      </c>
      <c r="D9" s="10">
        <v>2.8</v>
      </c>
      <c r="E9" s="10" t="s">
        <v>43</v>
      </c>
      <c r="F9" s="74" t="s">
        <v>36</v>
      </c>
      <c r="G9" s="75">
        <v>0.28000000000000003</v>
      </c>
      <c r="H9" s="76">
        <v>0.79</v>
      </c>
      <c r="I9" s="9">
        <v>127.5</v>
      </c>
      <c r="J9" s="9">
        <v>88.5</v>
      </c>
      <c r="K9" s="10">
        <v>82</v>
      </c>
      <c r="L9" s="65">
        <f>AVERAGE(1428)</f>
        <v>1428</v>
      </c>
      <c r="M9" s="25" t="s">
        <v>1091</v>
      </c>
      <c r="N9" s="136">
        <f>AVERAGE(1700,1700)</f>
        <v>1700</v>
      </c>
      <c r="O9" s="25" t="s">
        <v>1153</v>
      </c>
      <c r="P9" s="65" t="s">
        <v>14</v>
      </c>
      <c r="Q9" s="25" t="s">
        <v>14</v>
      </c>
      <c r="R9" s="50" t="s">
        <v>14</v>
      </c>
      <c r="S9" s="65">
        <v>1810</v>
      </c>
      <c r="T9" s="25" t="s">
        <v>1153</v>
      </c>
      <c r="U9" s="50" t="s">
        <v>31</v>
      </c>
    </row>
    <row r="10" spans="1:21" s="14" customFormat="1" ht="12.6" customHeight="1">
      <c r="A10" s="73" t="s">
        <v>35</v>
      </c>
      <c r="B10" s="26" t="s">
        <v>733</v>
      </c>
      <c r="C10" s="10" t="s">
        <v>42</v>
      </c>
      <c r="D10" s="10">
        <v>4</v>
      </c>
      <c r="E10" s="10" t="s">
        <v>43</v>
      </c>
      <c r="F10" s="74" t="s">
        <v>36</v>
      </c>
      <c r="G10" s="75">
        <v>0.28000000000000003</v>
      </c>
      <c r="H10" s="76">
        <v>0.61499999999999999</v>
      </c>
      <c r="I10" s="9">
        <v>112.8</v>
      </c>
      <c r="J10" s="9">
        <v>82.6</v>
      </c>
      <c r="K10" s="10">
        <v>77</v>
      </c>
      <c r="L10" s="65">
        <f>AVERAGE(600,699,692,755,750,800,730,610,825,825,799,788)</f>
        <v>739.41666666666663</v>
      </c>
      <c r="M10" s="118" t="s">
        <v>1171</v>
      </c>
      <c r="N10" s="65">
        <f>AVERAGE(799,899,800,800,825,850,804,869,899,801,849,771,850)</f>
        <v>832</v>
      </c>
      <c r="O10" s="25" t="s">
        <v>1171</v>
      </c>
      <c r="P10" s="65">
        <f>995*CA.US</f>
        <v>756.2</v>
      </c>
      <c r="Q10" s="25" t="s">
        <v>1153</v>
      </c>
      <c r="R10" s="50" t="s">
        <v>873</v>
      </c>
      <c r="S10" s="65">
        <v>910</v>
      </c>
      <c r="T10" s="25" t="s">
        <v>925</v>
      </c>
      <c r="U10" s="50" t="s">
        <v>31</v>
      </c>
    </row>
    <row r="11" spans="1:21" s="14" customFormat="1" ht="12.6" customHeight="1">
      <c r="A11" s="73" t="s">
        <v>35</v>
      </c>
      <c r="B11" s="26" t="s">
        <v>734</v>
      </c>
      <c r="C11" s="10" t="s">
        <v>44</v>
      </c>
      <c r="D11" s="10">
        <v>2.8</v>
      </c>
      <c r="E11" s="10" t="s">
        <v>45</v>
      </c>
      <c r="F11" s="74" t="s">
        <v>36</v>
      </c>
      <c r="G11" s="75">
        <v>0.42</v>
      </c>
      <c r="H11" s="76">
        <v>0.54500000000000004</v>
      </c>
      <c r="I11" s="9">
        <v>95.7</v>
      </c>
      <c r="J11" s="9">
        <v>83.5</v>
      </c>
      <c r="K11" s="10">
        <v>77</v>
      </c>
      <c r="L11" s="65">
        <f>AVERAGE(480,382,490,405,360,459,487,459,482,468)</f>
        <v>447.2</v>
      </c>
      <c r="M11" s="118" t="s">
        <v>1153</v>
      </c>
      <c r="N11" s="65">
        <f>AVERAGE(540,519,489,549,510,590,620,540,600,570,549,512)</f>
        <v>549</v>
      </c>
      <c r="O11" s="25" t="s">
        <v>1091</v>
      </c>
      <c r="P11" s="65">
        <v>792</v>
      </c>
      <c r="Q11" s="25" t="s">
        <v>925</v>
      </c>
      <c r="R11" s="50" t="s">
        <v>28</v>
      </c>
      <c r="S11" s="65">
        <v>595</v>
      </c>
      <c r="T11" s="25" t="s">
        <v>723</v>
      </c>
      <c r="U11" s="50" t="s">
        <v>27</v>
      </c>
    </row>
    <row r="12" spans="1:21" s="14" customFormat="1" ht="12.6" customHeight="1">
      <c r="A12" s="73" t="s">
        <v>35</v>
      </c>
      <c r="B12" s="26" t="s">
        <v>735</v>
      </c>
      <c r="C12" s="10" t="s">
        <v>46</v>
      </c>
      <c r="D12" s="10">
        <v>4</v>
      </c>
      <c r="E12" s="10" t="s">
        <v>47</v>
      </c>
      <c r="F12" s="74" t="s">
        <v>36</v>
      </c>
      <c r="G12" s="75">
        <v>0.28000000000000003</v>
      </c>
      <c r="H12" s="76">
        <v>0.5</v>
      </c>
      <c r="I12" s="9">
        <v>96.8</v>
      </c>
      <c r="J12" s="9">
        <v>83.5</v>
      </c>
      <c r="K12" s="10">
        <v>77</v>
      </c>
      <c r="L12" s="65">
        <f>AVERAGE(393,374,349,357,394,368,356,405,393,390,407)</f>
        <v>380.54545454545456</v>
      </c>
      <c r="M12" s="118" t="s">
        <v>1171</v>
      </c>
      <c r="N12" s="65">
        <f>AVERAGE(550,450,540,449,445,472,455,465,450,475)</f>
        <v>475.1</v>
      </c>
      <c r="O12" s="25" t="s">
        <v>1171</v>
      </c>
      <c r="P12" s="65">
        <f>750*CA.US</f>
        <v>570</v>
      </c>
      <c r="Q12" s="25" t="s">
        <v>1153</v>
      </c>
      <c r="R12" s="50" t="s">
        <v>873</v>
      </c>
      <c r="S12" s="65">
        <v>640</v>
      </c>
      <c r="T12" s="25" t="s">
        <v>1061</v>
      </c>
      <c r="U12" s="50" t="s">
        <v>30</v>
      </c>
    </row>
    <row r="13" spans="1:21" s="14" customFormat="1" ht="12.6" customHeight="1">
      <c r="A13" s="67" t="s">
        <v>35</v>
      </c>
      <c r="B13" s="57" t="s">
        <v>736</v>
      </c>
      <c r="C13" s="71" t="s">
        <v>48</v>
      </c>
      <c r="D13" s="71">
        <v>2.8</v>
      </c>
      <c r="E13" s="71" t="s">
        <v>49</v>
      </c>
      <c r="F13" s="72" t="s">
        <v>36</v>
      </c>
      <c r="G13" s="59">
        <v>0.5</v>
      </c>
      <c r="H13" s="40">
        <v>0.54</v>
      </c>
      <c r="I13" s="36">
        <v>79.2</v>
      </c>
      <c r="J13" s="36">
        <v>89</v>
      </c>
      <c r="K13" s="71">
        <v>72</v>
      </c>
      <c r="L13" s="61">
        <f>AVERAGE(400,379,318,399,349,300,350,378,370,399,362,400)</f>
        <v>367</v>
      </c>
      <c r="M13" s="168" t="s">
        <v>1171</v>
      </c>
      <c r="N13" s="61">
        <f>AVERAGE(440,476,469,455,437,475,469,478,459,475,400,416,425)</f>
        <v>451.84615384615387</v>
      </c>
      <c r="O13" s="68" t="s">
        <v>1171</v>
      </c>
      <c r="P13" s="61">
        <v>600</v>
      </c>
      <c r="Q13" s="68" t="s">
        <v>925</v>
      </c>
      <c r="R13" s="52" t="s">
        <v>28</v>
      </c>
      <c r="S13" s="61">
        <v>795</v>
      </c>
      <c r="T13" s="68" t="s">
        <v>484</v>
      </c>
      <c r="U13" s="52" t="s">
        <v>27</v>
      </c>
    </row>
    <row r="14" spans="1:21" s="14" customFormat="1" ht="14.25" customHeight="1">
      <c r="A14" s="73" t="s">
        <v>35</v>
      </c>
      <c r="B14" s="26" t="s">
        <v>737</v>
      </c>
      <c r="C14" s="10" t="s">
        <v>50</v>
      </c>
      <c r="D14" s="10">
        <v>2.8</v>
      </c>
      <c r="E14" s="10" t="s">
        <v>51</v>
      </c>
      <c r="F14" s="74" t="s">
        <v>36</v>
      </c>
      <c r="G14" s="75">
        <v>0.38</v>
      </c>
      <c r="H14" s="76">
        <v>0.95</v>
      </c>
      <c r="I14" s="9">
        <v>123.5</v>
      </c>
      <c r="J14" s="9">
        <v>83.2</v>
      </c>
      <c r="K14" s="10">
        <v>77</v>
      </c>
      <c r="L14" s="65">
        <f>AVERAGE(680,600,749,660,730,641,790,518,790,710,770)</f>
        <v>694.36363636363637</v>
      </c>
      <c r="M14" s="25" t="s">
        <v>1171</v>
      </c>
      <c r="N14" s="65">
        <f>AVERAGE(825,850,860,920,910,880,936,800,850,980,986,870)</f>
        <v>888.91666666666663</v>
      </c>
      <c r="O14" s="25" t="s">
        <v>1171</v>
      </c>
      <c r="P14" s="65">
        <v>910</v>
      </c>
      <c r="Q14" s="25" t="s">
        <v>1153</v>
      </c>
      <c r="R14" s="50" t="s">
        <v>31</v>
      </c>
      <c r="S14" s="65">
        <v>1100</v>
      </c>
      <c r="T14" s="25" t="s">
        <v>1153</v>
      </c>
      <c r="U14" s="50" t="s">
        <v>30</v>
      </c>
    </row>
    <row r="15" spans="1:21" s="14" customFormat="1" ht="12.6" customHeight="1">
      <c r="A15" s="73" t="s">
        <v>35</v>
      </c>
      <c r="B15" s="26" t="s">
        <v>738</v>
      </c>
      <c r="C15" s="10" t="s">
        <v>50</v>
      </c>
      <c r="D15" s="10">
        <v>2.8</v>
      </c>
      <c r="E15" s="10" t="s">
        <v>51</v>
      </c>
      <c r="F15" s="74" t="s">
        <v>36</v>
      </c>
      <c r="G15" s="75">
        <v>0.38</v>
      </c>
      <c r="H15" s="76">
        <v>0.80300000000000005</v>
      </c>
      <c r="I15" s="9">
        <v>111.8</v>
      </c>
      <c r="J15" s="9">
        <v>88.9</v>
      </c>
      <c r="K15" s="10">
        <v>82</v>
      </c>
      <c r="L15" s="65">
        <f>AVERAGE(1091,1250,1051,1050,1200,1154,1200,1125,1375,1233,1259)</f>
        <v>1180.7272727272727</v>
      </c>
      <c r="M15" s="25" t="s">
        <v>1171</v>
      </c>
      <c r="N15" s="65">
        <f>AVERAGE(1250,1380,1402,1390,1347,1375,1390,1400,1400,1350,1377,1385)</f>
        <v>1370.5</v>
      </c>
      <c r="O15" s="25" t="s">
        <v>1171</v>
      </c>
      <c r="P15" s="65">
        <v>1310</v>
      </c>
      <c r="Q15" s="25" t="s">
        <v>1153</v>
      </c>
      <c r="R15" s="50" t="s">
        <v>30</v>
      </c>
      <c r="S15" s="65">
        <v>1550</v>
      </c>
      <c r="T15" s="25" t="s">
        <v>1153</v>
      </c>
      <c r="U15" s="50" t="s">
        <v>28</v>
      </c>
    </row>
    <row r="16" spans="1:21" s="14" customFormat="1" ht="12.6" customHeight="1">
      <c r="A16" s="73" t="s">
        <v>35</v>
      </c>
      <c r="B16" s="26" t="s">
        <v>739</v>
      </c>
      <c r="C16" s="10" t="s">
        <v>50</v>
      </c>
      <c r="D16" s="10">
        <v>4</v>
      </c>
      <c r="E16" s="10" t="s">
        <v>51</v>
      </c>
      <c r="F16" s="74" t="s">
        <v>36</v>
      </c>
      <c r="G16" s="75">
        <v>0.2</v>
      </c>
      <c r="H16" s="76">
        <v>0.6</v>
      </c>
      <c r="I16" s="9">
        <v>94</v>
      </c>
      <c r="J16" s="9">
        <v>83.8</v>
      </c>
      <c r="K16" s="10">
        <v>77</v>
      </c>
      <c r="L16" s="65">
        <f>AVERAGE(525,525,520,550,475.565,585,455,557,575,460,526,588,570)</f>
        <v>531.65884615384618</v>
      </c>
      <c r="M16" s="25" t="s">
        <v>1153</v>
      </c>
      <c r="N16" s="65">
        <f>AVERAGE(650,650,565,650,702,620,680,630,720,621,610)</f>
        <v>645.27272727272725</v>
      </c>
      <c r="O16" s="25" t="s">
        <v>1153</v>
      </c>
      <c r="P16" s="65">
        <v>650</v>
      </c>
      <c r="Q16" s="25" t="s">
        <v>1153</v>
      </c>
      <c r="R16" s="50" t="s">
        <v>633</v>
      </c>
      <c r="S16" s="65">
        <v>710</v>
      </c>
      <c r="T16" s="25" t="s">
        <v>1153</v>
      </c>
      <c r="U16" s="50" t="s">
        <v>31</v>
      </c>
    </row>
    <row r="17" spans="1:21" s="14" customFormat="1" ht="12.6" customHeight="1">
      <c r="A17" s="73" t="s">
        <v>35</v>
      </c>
      <c r="B17" s="26" t="s">
        <v>740</v>
      </c>
      <c r="C17" s="10" t="s">
        <v>52</v>
      </c>
      <c r="D17" s="10">
        <v>4</v>
      </c>
      <c r="E17" s="10" t="s">
        <v>53</v>
      </c>
      <c r="F17" s="74" t="s">
        <v>36</v>
      </c>
      <c r="G17" s="75">
        <v>0.45</v>
      </c>
      <c r="H17" s="76">
        <v>0.67</v>
      </c>
      <c r="I17" s="9">
        <v>107</v>
      </c>
      <c r="J17" s="9">
        <v>83.5</v>
      </c>
      <c r="K17" s="10">
        <v>77</v>
      </c>
      <c r="L17" s="65">
        <f>AVERAGE(425,430,477,401,450,448,450,450,455,425,400)</f>
        <v>437.36363636363637</v>
      </c>
      <c r="M17" s="25" t="s">
        <v>1171</v>
      </c>
      <c r="N17" s="65">
        <f>AVERAGE(515,500,507,565,465,525,550,530,600,487,498,550)</f>
        <v>524.33333333333337</v>
      </c>
      <c r="O17" s="25" t="s">
        <v>1171</v>
      </c>
      <c r="P17" s="65">
        <v>495</v>
      </c>
      <c r="Q17" s="25" t="s">
        <v>1153</v>
      </c>
      <c r="R17" s="50" t="s">
        <v>456</v>
      </c>
      <c r="S17" s="65">
        <f>895*CA.US</f>
        <v>680.2</v>
      </c>
      <c r="T17" s="25" t="s">
        <v>1153</v>
      </c>
      <c r="U17" s="50" t="s">
        <v>873</v>
      </c>
    </row>
    <row r="18" spans="1:21" s="14" customFormat="1" ht="12.6" customHeight="1">
      <c r="A18" s="73" t="s">
        <v>35</v>
      </c>
      <c r="B18" s="26" t="s">
        <v>883</v>
      </c>
      <c r="C18" s="10" t="s">
        <v>52</v>
      </c>
      <c r="D18" s="10">
        <v>4</v>
      </c>
      <c r="E18" s="10" t="s">
        <v>53</v>
      </c>
      <c r="F18" s="74" t="s">
        <v>36</v>
      </c>
      <c r="G18" s="75">
        <v>0.45</v>
      </c>
      <c r="H18" s="76">
        <v>0.79500000000000004</v>
      </c>
      <c r="I18" s="9">
        <v>118</v>
      </c>
      <c r="J18" s="9">
        <v>83.5</v>
      </c>
      <c r="K18" s="10">
        <v>77</v>
      </c>
      <c r="L18" s="65">
        <f>AVERAGE(650,600,580,495)</f>
        <v>581.25</v>
      </c>
      <c r="M18" s="25" t="s">
        <v>1171</v>
      </c>
      <c r="N18" s="65">
        <f>AVERAGE(910,720,775,700,700,680,650,720)</f>
        <v>731.875</v>
      </c>
      <c r="O18" s="25" t="s">
        <v>1171</v>
      </c>
      <c r="P18" s="65">
        <v>870</v>
      </c>
      <c r="Q18" s="25" t="s">
        <v>1153</v>
      </c>
      <c r="R18" s="50" t="s">
        <v>633</v>
      </c>
      <c r="S18" s="65">
        <f>1145*CA.US</f>
        <v>870.2</v>
      </c>
      <c r="T18" s="25" t="s">
        <v>1061</v>
      </c>
      <c r="U18" s="50" t="s">
        <v>327</v>
      </c>
    </row>
    <row r="19" spans="1:21" s="14" customFormat="1" ht="12.6" customHeight="1">
      <c r="A19" s="73" t="s">
        <v>35</v>
      </c>
      <c r="B19" s="26" t="s">
        <v>741</v>
      </c>
      <c r="C19" s="10" t="s">
        <v>54</v>
      </c>
      <c r="D19" s="10">
        <v>2.8</v>
      </c>
      <c r="E19" s="10" t="s">
        <v>55</v>
      </c>
      <c r="F19" s="74" t="s">
        <v>36</v>
      </c>
      <c r="G19" s="75">
        <v>0.5</v>
      </c>
      <c r="H19" s="76">
        <v>0.88</v>
      </c>
      <c r="I19" s="9">
        <v>117.6</v>
      </c>
      <c r="J19" s="9">
        <v>83.2</v>
      </c>
      <c r="K19" s="10">
        <v>77</v>
      </c>
      <c r="L19" s="65">
        <f>AVERAGE(490,485,470,535,459,400,435,490,452,450,481,505,457,475)</f>
        <v>470.28571428571428</v>
      </c>
      <c r="M19" s="25" t="s">
        <v>1153</v>
      </c>
      <c r="N19" s="65">
        <f>AVERAGE(600,600,685,636,586,600,650,519,598,556,575,575)</f>
        <v>598.33333333333337</v>
      </c>
      <c r="O19" s="25" t="s">
        <v>1171</v>
      </c>
      <c r="P19" s="65">
        <v>698</v>
      </c>
      <c r="Q19" s="25" t="s">
        <v>925</v>
      </c>
      <c r="R19" s="50" t="s">
        <v>28</v>
      </c>
      <c r="S19" s="65">
        <v>695</v>
      </c>
      <c r="T19" s="25" t="s">
        <v>925</v>
      </c>
      <c r="U19" s="50" t="s">
        <v>27</v>
      </c>
    </row>
    <row r="20" spans="1:21" s="14" customFormat="1" ht="12.6" customHeight="1">
      <c r="A20" s="67" t="s">
        <v>35</v>
      </c>
      <c r="B20" s="57" t="s">
        <v>728</v>
      </c>
      <c r="C20" s="71" t="s">
        <v>56</v>
      </c>
      <c r="D20" s="71" t="s">
        <v>57</v>
      </c>
      <c r="E20" s="71" t="s">
        <v>58</v>
      </c>
      <c r="F20" s="72" t="s">
        <v>36</v>
      </c>
      <c r="G20" s="59">
        <v>0.3</v>
      </c>
      <c r="H20" s="40">
        <v>0.94499999999999995</v>
      </c>
      <c r="I20" s="36">
        <v>119.5</v>
      </c>
      <c r="J20" s="36">
        <v>84</v>
      </c>
      <c r="K20" s="71">
        <v>72</v>
      </c>
      <c r="L20" s="61">
        <f>AVERAGE(370,340,328,310,289,380,389,348,300,360,380,312,380)</f>
        <v>345.07692307692309</v>
      </c>
      <c r="M20" s="68" t="s">
        <v>1153</v>
      </c>
      <c r="N20" s="61">
        <f>AVERAGE(428,480,409,439)</f>
        <v>439</v>
      </c>
      <c r="O20" s="68" t="s">
        <v>1153</v>
      </c>
      <c r="P20" s="61">
        <v>620</v>
      </c>
      <c r="Q20" s="68" t="s">
        <v>925</v>
      </c>
      <c r="R20" s="52" t="s">
        <v>28</v>
      </c>
      <c r="S20" s="61">
        <v>600</v>
      </c>
      <c r="T20" s="68" t="s">
        <v>925</v>
      </c>
      <c r="U20" s="52" t="s">
        <v>28</v>
      </c>
    </row>
    <row r="21" spans="1:21" s="14" customFormat="1" ht="12.6" customHeight="1">
      <c r="A21" s="73" t="s">
        <v>35</v>
      </c>
      <c r="B21" s="26" t="s">
        <v>729</v>
      </c>
      <c r="C21" s="10" t="s">
        <v>59</v>
      </c>
      <c r="D21" s="10">
        <v>2.8</v>
      </c>
      <c r="E21" s="10" t="s">
        <v>60</v>
      </c>
      <c r="F21" s="74" t="s">
        <v>36</v>
      </c>
      <c r="G21" s="75">
        <v>1.5</v>
      </c>
      <c r="H21" s="76">
        <v>1.31</v>
      </c>
      <c r="I21" s="9">
        <v>193.6</v>
      </c>
      <c r="J21" s="9">
        <v>84.6</v>
      </c>
      <c r="K21" s="10">
        <v>77</v>
      </c>
      <c r="L21" s="65">
        <f xml:space="preserve"> AVERAGE(860,875,863,740,800,625,750,700,768,810,610,850)</f>
        <v>770.91666666666663</v>
      </c>
      <c r="M21" s="25" t="s">
        <v>1171</v>
      </c>
      <c r="N21" s="65">
        <f>AVERAGE(1000,959,977,985,945,920,850,969,925,892,820,999,990)</f>
        <v>940.84615384615381</v>
      </c>
      <c r="O21" s="25" t="s">
        <v>1171</v>
      </c>
      <c r="P21" s="65">
        <v>990</v>
      </c>
      <c r="Q21" s="25" t="s">
        <v>1153</v>
      </c>
      <c r="R21" s="50" t="s">
        <v>633</v>
      </c>
      <c r="S21" s="65">
        <v>1070</v>
      </c>
      <c r="T21" s="25" t="s">
        <v>723</v>
      </c>
      <c r="U21" s="50" t="s">
        <v>31</v>
      </c>
    </row>
    <row r="22" spans="1:21" s="14" customFormat="1" ht="12.6" customHeight="1">
      <c r="A22" s="73" t="s">
        <v>35</v>
      </c>
      <c r="B22" s="26" t="s">
        <v>742</v>
      </c>
      <c r="C22" s="10" t="s">
        <v>59</v>
      </c>
      <c r="D22" s="10">
        <v>2.8</v>
      </c>
      <c r="E22" s="10" t="s">
        <v>60</v>
      </c>
      <c r="F22" s="74" t="s">
        <v>36</v>
      </c>
      <c r="G22" s="75">
        <v>1.4</v>
      </c>
      <c r="H22" s="76">
        <v>1.59</v>
      </c>
      <c r="I22" s="9">
        <v>197</v>
      </c>
      <c r="J22" s="9">
        <v>86.2</v>
      </c>
      <c r="K22" s="10">
        <v>77</v>
      </c>
      <c r="L22" s="65">
        <f>AVERAGE(975,910,1095,935,910,899,830,932,890,930,980,780,897,900)</f>
        <v>918.78571428571433</v>
      </c>
      <c r="M22" s="25" t="s">
        <v>1171</v>
      </c>
      <c r="N22" s="65">
        <f>AVERAGE(1100,1200,1200,1351,1229,1200,1325,1229,1120,1225,1198,1205,1300,1201)</f>
        <v>1220.2142857142858</v>
      </c>
      <c r="O22" s="25" t="s">
        <v>1153</v>
      </c>
      <c r="P22" s="65">
        <v>1160</v>
      </c>
      <c r="Q22" s="25" t="s">
        <v>1153</v>
      </c>
      <c r="R22" s="50" t="s">
        <v>31</v>
      </c>
      <c r="S22" s="65">
        <v>1300</v>
      </c>
      <c r="T22" s="25" t="s">
        <v>1153</v>
      </c>
      <c r="U22" s="50" t="s">
        <v>30</v>
      </c>
    </row>
    <row r="23" spans="1:21" s="14" customFormat="1" ht="12.6" customHeight="1">
      <c r="A23" s="73" t="s">
        <v>35</v>
      </c>
      <c r="B23" s="26" t="s">
        <v>380</v>
      </c>
      <c r="C23" s="10" t="s">
        <v>59</v>
      </c>
      <c r="D23" s="10">
        <v>2.8</v>
      </c>
      <c r="E23" s="10" t="s">
        <v>60</v>
      </c>
      <c r="F23" s="74" t="s">
        <v>36</v>
      </c>
      <c r="G23" s="75">
        <v>1.2</v>
      </c>
      <c r="H23" s="76">
        <v>1.49</v>
      </c>
      <c r="I23" s="9">
        <v>199</v>
      </c>
      <c r="J23" s="9">
        <v>88.8</v>
      </c>
      <c r="K23" s="10">
        <v>77</v>
      </c>
      <c r="L23" s="65">
        <f>AVERAGE(1095,1241,1200,1272,1300,1260,1350,1350,1325)</f>
        <v>1265.8888888888889</v>
      </c>
      <c r="M23" s="25" t="s">
        <v>1177</v>
      </c>
      <c r="N23" s="65">
        <f>AVERAGE(1499,1400,1550,1445,1599,1590,1500,1535,1716,1621)</f>
        <v>1545.5</v>
      </c>
      <c r="O23" s="25" t="s">
        <v>1177</v>
      </c>
      <c r="P23" s="65">
        <v>1460</v>
      </c>
      <c r="Q23" s="25" t="s">
        <v>1153</v>
      </c>
      <c r="R23" s="50" t="s">
        <v>31</v>
      </c>
      <c r="S23" s="65">
        <v>1700</v>
      </c>
      <c r="T23" s="25" t="s">
        <v>1171</v>
      </c>
      <c r="U23" s="50" t="s">
        <v>1157</v>
      </c>
    </row>
    <row r="24" spans="1:21" s="14" customFormat="1" ht="12.6" customHeight="1">
      <c r="A24" s="73" t="s">
        <v>35</v>
      </c>
      <c r="B24" s="26" t="s">
        <v>481</v>
      </c>
      <c r="C24" s="10" t="s">
        <v>59</v>
      </c>
      <c r="D24" s="10">
        <v>4</v>
      </c>
      <c r="E24" s="10" t="s">
        <v>60</v>
      </c>
      <c r="F24" s="74" t="s">
        <v>36</v>
      </c>
      <c r="G24" s="75">
        <v>1.19</v>
      </c>
      <c r="H24" s="76">
        <v>0.71</v>
      </c>
      <c r="I24" s="9">
        <v>173</v>
      </c>
      <c r="J24" s="9">
        <v>77</v>
      </c>
      <c r="K24" s="10">
        <v>67</v>
      </c>
      <c r="L24" s="65">
        <f>AVERAGE(351,425,399,403,380,469,389,381,400,395,415,400)</f>
        <v>400.58333333333331</v>
      </c>
      <c r="M24" s="25" t="s">
        <v>1171</v>
      </c>
      <c r="N24" s="65">
        <f>AVERAGE(510,553,510.469,480,455,485,527,524,500,504,499)</f>
        <v>504.31536363636366</v>
      </c>
      <c r="O24" s="25" t="s">
        <v>1171</v>
      </c>
      <c r="P24" s="65">
        <v>450</v>
      </c>
      <c r="Q24" s="25" t="s">
        <v>1153</v>
      </c>
      <c r="R24" s="50" t="s">
        <v>948</v>
      </c>
      <c r="S24" s="65">
        <v>530</v>
      </c>
      <c r="T24" s="25" t="s">
        <v>1061</v>
      </c>
      <c r="U24" s="50" t="s">
        <v>30</v>
      </c>
    </row>
    <row r="25" spans="1:21" s="14" customFormat="1" ht="12.6" customHeight="1">
      <c r="A25" s="73" t="s">
        <v>35</v>
      </c>
      <c r="B25" s="26" t="s">
        <v>594</v>
      </c>
      <c r="C25" s="10" t="s">
        <v>59</v>
      </c>
      <c r="D25" s="10">
        <v>4</v>
      </c>
      <c r="E25" s="10" t="s">
        <v>60</v>
      </c>
      <c r="F25" s="74" t="s">
        <v>36</v>
      </c>
      <c r="G25" s="75">
        <v>1.2</v>
      </c>
      <c r="H25" s="76">
        <v>0.76</v>
      </c>
      <c r="I25" s="9">
        <v>172</v>
      </c>
      <c r="J25" s="9">
        <v>76</v>
      </c>
      <c r="K25" s="10">
        <v>67</v>
      </c>
      <c r="L25" s="65">
        <f>AVERAGE(650,675,650,675,661,701,680,642,711,770,689,708,680)</f>
        <v>684</v>
      </c>
      <c r="M25" s="25" t="s">
        <v>1171</v>
      </c>
      <c r="N25" s="65">
        <f>AVERAGE(860,850,735,801,725,751,775,750,800)</f>
        <v>783</v>
      </c>
      <c r="O25" s="25" t="s">
        <v>1171</v>
      </c>
      <c r="P25" s="65">
        <v>680</v>
      </c>
      <c r="Q25" s="25" t="s">
        <v>1153</v>
      </c>
      <c r="R25" s="50" t="s">
        <v>31</v>
      </c>
      <c r="S25" s="65">
        <v>960</v>
      </c>
      <c r="T25" s="25" t="s">
        <v>1061</v>
      </c>
      <c r="U25" s="50" t="s">
        <v>30</v>
      </c>
    </row>
    <row r="26" spans="1:21" s="14" customFormat="1" ht="12.6" customHeight="1">
      <c r="A26" s="73" t="s">
        <v>35</v>
      </c>
      <c r="B26" s="26" t="s">
        <v>1112</v>
      </c>
      <c r="C26" s="10" t="s">
        <v>59</v>
      </c>
      <c r="D26" s="10">
        <v>4</v>
      </c>
      <c r="E26" s="10" t="s">
        <v>60</v>
      </c>
      <c r="F26" s="74" t="s">
        <v>36</v>
      </c>
      <c r="G26" s="75">
        <v>1</v>
      </c>
      <c r="H26" s="76">
        <v>0.78</v>
      </c>
      <c r="I26" s="9">
        <v>176</v>
      </c>
      <c r="J26" s="9">
        <v>80</v>
      </c>
      <c r="K26" s="10">
        <v>72</v>
      </c>
      <c r="L26" s="65">
        <f>AVERAGE(0)</f>
        <v>0</v>
      </c>
      <c r="M26" s="25" t="s">
        <v>14</v>
      </c>
      <c r="N26" s="65">
        <f>AVERAGE(0)</f>
        <v>0</v>
      </c>
      <c r="O26" s="25" t="s">
        <v>14</v>
      </c>
      <c r="P26" s="65" t="s">
        <v>14</v>
      </c>
      <c r="Q26" s="25" t="s">
        <v>14</v>
      </c>
      <c r="R26" s="50" t="s">
        <v>14</v>
      </c>
      <c r="S26" s="136">
        <v>1400</v>
      </c>
      <c r="T26" s="25" t="s">
        <v>1153</v>
      </c>
      <c r="U26" s="50" t="s">
        <v>30</v>
      </c>
    </row>
    <row r="27" spans="1:21" s="14" customFormat="1" ht="12.6" customHeight="1">
      <c r="A27" s="73" t="s">
        <v>35</v>
      </c>
      <c r="B27" s="26" t="s">
        <v>743</v>
      </c>
      <c r="C27" s="10" t="s">
        <v>61</v>
      </c>
      <c r="D27" s="10">
        <v>2.8</v>
      </c>
      <c r="E27" s="10" t="s">
        <v>62</v>
      </c>
      <c r="F27" s="74" t="s">
        <v>36</v>
      </c>
      <c r="G27" s="75" t="s">
        <v>63</v>
      </c>
      <c r="H27" s="76">
        <v>1.33</v>
      </c>
      <c r="I27" s="9">
        <v>186</v>
      </c>
      <c r="J27" s="9">
        <v>84</v>
      </c>
      <c r="K27" s="10">
        <v>72</v>
      </c>
      <c r="L27" s="65">
        <f>AVERAGE(489,479,476,511,499,455,400,504,429,450,438)</f>
        <v>466.36363636363637</v>
      </c>
      <c r="M27" s="25" t="s">
        <v>1171</v>
      </c>
      <c r="N27" s="65">
        <f>AVERAGE(660,501,510,560,585,749,615,639,640)</f>
        <v>606.55555555555554</v>
      </c>
      <c r="O27" s="25" t="s">
        <v>1118</v>
      </c>
      <c r="P27" s="65">
        <v>730</v>
      </c>
      <c r="Q27" s="25" t="s">
        <v>918</v>
      </c>
      <c r="R27" s="50" t="s">
        <v>28</v>
      </c>
      <c r="S27" s="65">
        <v>631</v>
      </c>
      <c r="T27" s="25" t="s">
        <v>1171</v>
      </c>
      <c r="U27" s="50" t="s">
        <v>1157</v>
      </c>
    </row>
    <row r="28" spans="1:21" s="14" customFormat="1" ht="12.6" customHeight="1">
      <c r="A28" s="67" t="s">
        <v>35</v>
      </c>
      <c r="B28" s="57" t="s">
        <v>425</v>
      </c>
      <c r="C28" s="71" t="s">
        <v>109</v>
      </c>
      <c r="D28" s="71" t="s">
        <v>424</v>
      </c>
      <c r="E28" s="71" t="s">
        <v>168</v>
      </c>
      <c r="F28" s="72" t="s">
        <v>36</v>
      </c>
      <c r="G28" s="59">
        <v>2</v>
      </c>
      <c r="H28" s="40">
        <v>3.62</v>
      </c>
      <c r="I28" s="36">
        <v>366</v>
      </c>
      <c r="J28" s="36">
        <v>128</v>
      </c>
      <c r="K28" s="71" t="s">
        <v>569</v>
      </c>
      <c r="L28" s="65">
        <f>AVERAGE(7333,7400,7950,6450,7087,7878,7600)</f>
        <v>7385.4285714285716</v>
      </c>
      <c r="M28" s="68" t="s">
        <v>1171</v>
      </c>
      <c r="N28" s="65">
        <f>AVERAGE(8020,7800,8000,8050,8330,8499,8100,8000)</f>
        <v>8099.875</v>
      </c>
      <c r="O28" s="68" t="s">
        <v>1171</v>
      </c>
      <c r="P28" s="61">
        <f>8885*CA.US</f>
        <v>6752.6</v>
      </c>
      <c r="Q28" s="68" t="s">
        <v>1061</v>
      </c>
      <c r="R28" s="52" t="s">
        <v>327</v>
      </c>
      <c r="S28" s="61">
        <v>9349</v>
      </c>
      <c r="T28" s="68" t="s">
        <v>1153</v>
      </c>
      <c r="U28" s="52" t="s">
        <v>30</v>
      </c>
    </row>
    <row r="29" spans="1:21" ht="6" customHeight="1">
      <c r="A29" s="139" t="s">
        <v>14</v>
      </c>
      <c r="B29" s="130" t="s">
        <v>14</v>
      </c>
      <c r="C29" s="131" t="s">
        <v>14</v>
      </c>
      <c r="D29" s="131" t="s">
        <v>14</v>
      </c>
      <c r="E29" s="131" t="s">
        <v>14</v>
      </c>
      <c r="F29" s="131" t="s">
        <v>14</v>
      </c>
      <c r="G29" s="138" t="s">
        <v>14</v>
      </c>
      <c r="H29" s="134" t="s">
        <v>14</v>
      </c>
      <c r="I29" s="43" t="s">
        <v>14</v>
      </c>
      <c r="J29" s="43" t="s">
        <v>14</v>
      </c>
      <c r="K29" s="131" t="s">
        <v>14</v>
      </c>
      <c r="L29" s="43" t="s">
        <v>14</v>
      </c>
      <c r="M29" s="135" t="s">
        <v>14</v>
      </c>
      <c r="N29" s="43" t="s">
        <v>14</v>
      </c>
      <c r="O29" s="135" t="s">
        <v>14</v>
      </c>
      <c r="P29" s="43" t="s">
        <v>14</v>
      </c>
      <c r="Q29" s="135" t="s">
        <v>14</v>
      </c>
      <c r="R29" s="43" t="s">
        <v>14</v>
      </c>
      <c r="S29" s="43" t="s">
        <v>14</v>
      </c>
      <c r="T29" s="135" t="s">
        <v>14</v>
      </c>
      <c r="U29" s="43" t="s">
        <v>14</v>
      </c>
    </row>
    <row r="30" spans="1:21" s="14" customFormat="1" ht="12.6" customHeight="1">
      <c r="A30" s="73" t="s">
        <v>35</v>
      </c>
      <c r="B30" s="114" t="s">
        <v>387</v>
      </c>
      <c r="C30" s="25" t="s">
        <v>388</v>
      </c>
      <c r="D30" s="10">
        <v>4</v>
      </c>
      <c r="E30" s="25" t="s">
        <v>391</v>
      </c>
      <c r="F30" s="74" t="s">
        <v>36</v>
      </c>
      <c r="G30" s="75">
        <v>0.15</v>
      </c>
      <c r="H30" s="76">
        <v>0.54</v>
      </c>
      <c r="I30" s="9">
        <v>83</v>
      </c>
      <c r="J30" s="9">
        <v>79</v>
      </c>
      <c r="K30" s="10" t="s">
        <v>29</v>
      </c>
      <c r="L30" s="65">
        <f>AVERAGE(795,750,850,626,889,720,805,873,773,810,740)</f>
        <v>784.63636363636363</v>
      </c>
      <c r="M30" s="25" t="s">
        <v>1171</v>
      </c>
      <c r="N30" s="65">
        <f>AVERAGE(984,921,900,850,950,900,1075,875,995,900)</f>
        <v>935</v>
      </c>
      <c r="O30" s="25" t="s">
        <v>1171</v>
      </c>
      <c r="P30" s="65">
        <v>960</v>
      </c>
      <c r="Q30" s="25" t="s">
        <v>1153</v>
      </c>
      <c r="R30" s="50" t="s">
        <v>31</v>
      </c>
      <c r="S30" s="65">
        <v>890</v>
      </c>
      <c r="T30" s="25" t="s">
        <v>1171</v>
      </c>
      <c r="U30" s="50" t="s">
        <v>1157</v>
      </c>
    </row>
    <row r="31" spans="1:21" s="14" customFormat="1" ht="12.6" customHeight="1">
      <c r="A31" s="73" t="s">
        <v>35</v>
      </c>
      <c r="B31" s="26" t="s">
        <v>724</v>
      </c>
      <c r="C31" s="10" t="s">
        <v>64</v>
      </c>
      <c r="D31" s="10" t="s">
        <v>65</v>
      </c>
      <c r="E31" s="10" t="s">
        <v>66</v>
      </c>
      <c r="F31" s="74" t="s">
        <v>36</v>
      </c>
      <c r="G31" s="75">
        <v>0.7</v>
      </c>
      <c r="H31" s="76">
        <v>1.67</v>
      </c>
      <c r="I31" s="9">
        <v>184</v>
      </c>
      <c r="J31" s="9">
        <v>92</v>
      </c>
      <c r="K31" s="10">
        <v>77</v>
      </c>
      <c r="L31" s="65">
        <f>AVERAGE(1350,1100,1250,1111,1300,1182,1199,1200,1221,1300,1225,1426,1200,1275,1236,1334)</f>
        <v>1244.3125</v>
      </c>
      <c r="M31" s="25" t="s">
        <v>1171</v>
      </c>
      <c r="N31" s="65">
        <f>AVERAGE(1700,1600,1632,1632,1672,1709,1638,1450,1500,1555,1493,1550,1748,1649)</f>
        <v>1609.1428571428571</v>
      </c>
      <c r="O31" s="25" t="s">
        <v>1118</v>
      </c>
      <c r="P31" s="65">
        <f>1595*CA.US</f>
        <v>1212.2</v>
      </c>
      <c r="Q31" s="25" t="s">
        <v>1153</v>
      </c>
      <c r="R31" s="50" t="s">
        <v>873</v>
      </c>
      <c r="S31" s="65">
        <v>1665</v>
      </c>
      <c r="T31" s="25" t="s">
        <v>1171</v>
      </c>
      <c r="U31" s="50" t="s">
        <v>1157</v>
      </c>
    </row>
    <row r="32" spans="1:21" s="14" customFormat="1" ht="12.6" customHeight="1">
      <c r="A32" s="73" t="s">
        <v>35</v>
      </c>
      <c r="B32" s="26" t="s">
        <v>730</v>
      </c>
      <c r="C32" s="10" t="s">
        <v>67</v>
      </c>
      <c r="D32" s="10" t="s">
        <v>65</v>
      </c>
      <c r="E32" s="10" t="s">
        <v>68</v>
      </c>
      <c r="F32" s="74" t="s">
        <v>36</v>
      </c>
      <c r="G32" s="75">
        <v>0.6</v>
      </c>
      <c r="H32" s="76">
        <v>1.385</v>
      </c>
      <c r="I32" s="9">
        <v>167.4</v>
      </c>
      <c r="J32" s="9">
        <v>85</v>
      </c>
      <c r="K32" s="10">
        <v>72</v>
      </c>
      <c r="L32" s="65">
        <f>AVERAGE(661,759,650,610,675,650,718,860,670,668,750,650)</f>
        <v>693.41666666666663</v>
      </c>
      <c r="M32" s="118" t="s">
        <v>1171</v>
      </c>
      <c r="N32" s="21">
        <f>AVERAGE(960,878,868,870,976,1150,1156,1000,1085,1050,1089)</f>
        <v>1007.4545454545455</v>
      </c>
      <c r="O32" s="118" t="s">
        <v>1118</v>
      </c>
      <c r="P32" s="65">
        <v>850</v>
      </c>
      <c r="Q32" s="25" t="s">
        <v>954</v>
      </c>
      <c r="R32" s="50" t="s">
        <v>948</v>
      </c>
      <c r="S32" s="65">
        <v>1245</v>
      </c>
      <c r="T32" s="25" t="s">
        <v>511</v>
      </c>
      <c r="U32" s="50" t="s">
        <v>26</v>
      </c>
    </row>
    <row r="33" spans="1:21" s="14" customFormat="1" ht="12.6" customHeight="1">
      <c r="A33" s="73" t="s">
        <v>35</v>
      </c>
      <c r="B33" s="26" t="s">
        <v>744</v>
      </c>
      <c r="C33" s="10" t="s">
        <v>69</v>
      </c>
      <c r="D33" s="10" t="s">
        <v>70</v>
      </c>
      <c r="E33" s="10" t="s">
        <v>71</v>
      </c>
      <c r="F33" s="74" t="s">
        <v>36</v>
      </c>
      <c r="G33" s="75">
        <v>1.2</v>
      </c>
      <c r="H33" s="76">
        <v>0.69499999999999995</v>
      </c>
      <c r="I33" s="9">
        <v>145.80000000000001</v>
      </c>
      <c r="J33" s="9">
        <v>75.599999999999994</v>
      </c>
      <c r="K33" s="10">
        <v>58</v>
      </c>
      <c r="L33" s="65">
        <f>AVERAGE(192,248,288)</f>
        <v>242.66666666666666</v>
      </c>
      <c r="M33" s="25" t="s">
        <v>1110</v>
      </c>
      <c r="N33" s="65">
        <f>AVERAGE(330,344)</f>
        <v>337</v>
      </c>
      <c r="O33" s="25" t="s">
        <v>1171</v>
      </c>
      <c r="P33" s="65">
        <v>420</v>
      </c>
      <c r="Q33" s="25" t="s">
        <v>918</v>
      </c>
      <c r="R33" s="50" t="s">
        <v>28</v>
      </c>
      <c r="S33" s="65">
        <v>500</v>
      </c>
      <c r="T33" s="25" t="s">
        <v>266</v>
      </c>
      <c r="U33" s="50" t="s">
        <v>28</v>
      </c>
    </row>
    <row r="34" spans="1:21" s="14" customFormat="1" ht="12.6" customHeight="1">
      <c r="A34" s="73" t="s">
        <v>35</v>
      </c>
      <c r="B34" s="26" t="s">
        <v>386</v>
      </c>
      <c r="C34" s="10" t="s">
        <v>80</v>
      </c>
      <c r="D34" s="10" t="s">
        <v>81</v>
      </c>
      <c r="E34" s="10" t="s">
        <v>82</v>
      </c>
      <c r="F34" s="74" t="s">
        <v>36</v>
      </c>
      <c r="G34" s="75">
        <v>1.2</v>
      </c>
      <c r="H34" s="76">
        <v>1.05</v>
      </c>
      <c r="I34" s="9">
        <v>143</v>
      </c>
      <c r="J34" s="9">
        <v>89</v>
      </c>
      <c r="K34" s="10">
        <v>67</v>
      </c>
      <c r="L34" s="65">
        <f>AVERAGE(690,770,630,740,750,830,699,871,750,745,726,872,700)</f>
        <v>751.76923076923072</v>
      </c>
      <c r="M34" s="25" t="s">
        <v>1171</v>
      </c>
      <c r="N34" s="65">
        <f>AVERAGE(840,800,911,975,920,950,1000,939,969,950,910)</f>
        <v>924</v>
      </c>
      <c r="O34" s="25" t="s">
        <v>1171</v>
      </c>
      <c r="P34" s="65">
        <v>910</v>
      </c>
      <c r="Q34" s="25" t="s">
        <v>1153</v>
      </c>
      <c r="R34" s="50" t="s">
        <v>31</v>
      </c>
      <c r="S34" s="65">
        <f>1350*CA.US</f>
        <v>1026</v>
      </c>
      <c r="T34" s="25" t="s">
        <v>1153</v>
      </c>
      <c r="U34" s="50" t="s">
        <v>327</v>
      </c>
    </row>
    <row r="35" spans="1:21" s="14" customFormat="1" ht="12.6" customHeight="1">
      <c r="A35" s="73" t="s">
        <v>35</v>
      </c>
      <c r="B35" s="26" t="s">
        <v>745</v>
      </c>
      <c r="C35" s="10" t="s">
        <v>72</v>
      </c>
      <c r="D35" s="10">
        <v>5.6</v>
      </c>
      <c r="E35" s="10" t="s">
        <v>73</v>
      </c>
      <c r="F35" s="74" t="s">
        <v>36</v>
      </c>
      <c r="G35" s="75">
        <v>1.5</v>
      </c>
      <c r="H35" s="76">
        <v>0.69499999999999995</v>
      </c>
      <c r="I35" s="9">
        <v>166.6</v>
      </c>
      <c r="J35" s="9">
        <v>75</v>
      </c>
      <c r="K35" s="10">
        <v>58</v>
      </c>
      <c r="L35" s="65">
        <f>AVERAGE(199,212.16,180,208,230,208,200,220,212,229)</f>
        <v>209.81599999999997</v>
      </c>
      <c r="M35" s="25" t="s">
        <v>1171</v>
      </c>
      <c r="N35" s="65">
        <f>AVERAGE(295,234,250,250,298,335,325,298,306,339)</f>
        <v>293</v>
      </c>
      <c r="O35" s="25" t="s">
        <v>1118</v>
      </c>
      <c r="P35" s="65">
        <v>330</v>
      </c>
      <c r="Q35" s="25" t="s">
        <v>1061</v>
      </c>
      <c r="R35" s="50" t="s">
        <v>30</v>
      </c>
      <c r="S35" s="65">
        <v>400</v>
      </c>
      <c r="T35" s="25" t="s">
        <v>723</v>
      </c>
      <c r="U35" s="50" t="s">
        <v>30</v>
      </c>
    </row>
    <row r="36" spans="1:21" s="14" customFormat="1" ht="12.6" customHeight="1">
      <c r="A36" s="73" t="s">
        <v>35</v>
      </c>
      <c r="B36" s="26" t="s">
        <v>725</v>
      </c>
      <c r="C36" s="10" t="s">
        <v>74</v>
      </c>
      <c r="D36" s="10" t="s">
        <v>75</v>
      </c>
      <c r="E36" s="10" t="s">
        <v>76</v>
      </c>
      <c r="F36" s="74" t="s">
        <v>36</v>
      </c>
      <c r="G36" s="75">
        <v>1.8</v>
      </c>
      <c r="H36" s="76">
        <v>1.38</v>
      </c>
      <c r="I36" s="9">
        <v>189</v>
      </c>
      <c r="J36" s="9">
        <v>92</v>
      </c>
      <c r="K36" s="10">
        <v>77</v>
      </c>
      <c r="L36" s="65">
        <f>AVERAGE(720,641,661,712,658,834,699,695,710,725,738,769,690,758)</f>
        <v>715</v>
      </c>
      <c r="M36" s="25" t="s">
        <v>1171</v>
      </c>
      <c r="N36" s="65">
        <f>AVERAGE(1025,895,922,959,900,845,801,850,865,935,925,900,992,915)</f>
        <v>909.21428571428567</v>
      </c>
      <c r="O36" s="25" t="s">
        <v>1153</v>
      </c>
      <c r="P36" s="65">
        <f>785*CA.US</f>
        <v>596.6</v>
      </c>
      <c r="Q36" s="25" t="s">
        <v>1061</v>
      </c>
      <c r="R36" s="50" t="s">
        <v>327</v>
      </c>
      <c r="S36" s="65">
        <f>1500*CA.US</f>
        <v>1140</v>
      </c>
      <c r="T36" s="25" t="s">
        <v>925</v>
      </c>
      <c r="U36" s="50" t="s">
        <v>327</v>
      </c>
    </row>
    <row r="37" spans="1:21" s="14" customFormat="1" ht="12.6" customHeight="1">
      <c r="A37" s="67" t="s">
        <v>35</v>
      </c>
      <c r="B37" s="57" t="s">
        <v>726</v>
      </c>
      <c r="C37" s="71" t="s">
        <v>74</v>
      </c>
      <c r="D37" s="71" t="s">
        <v>75</v>
      </c>
      <c r="E37" s="71" t="s">
        <v>76</v>
      </c>
      <c r="F37" s="72" t="s">
        <v>36</v>
      </c>
      <c r="G37" s="59">
        <v>0.98</v>
      </c>
      <c r="H37" s="40">
        <v>1.57</v>
      </c>
      <c r="I37" s="36">
        <v>193</v>
      </c>
      <c r="J37" s="36">
        <v>94</v>
      </c>
      <c r="K37" s="71">
        <v>77</v>
      </c>
      <c r="L37" s="61">
        <f>AVERAGE(1545,1250,1456,1306,1229,1210,1525,1499)</f>
        <v>1377.5</v>
      </c>
      <c r="M37" s="36" t="s">
        <v>1171</v>
      </c>
      <c r="N37" s="61">
        <f>AVERAGE(1625,1775,1700,1710,1675,1625,1625,1600,1625,1546)</f>
        <v>1650.6</v>
      </c>
      <c r="O37" s="68" t="s">
        <v>1171</v>
      </c>
      <c r="P37" s="61">
        <f>1995*CA.US</f>
        <v>1516.2</v>
      </c>
      <c r="Q37" s="68" t="s">
        <v>1153</v>
      </c>
      <c r="R37" s="52" t="s">
        <v>873</v>
      </c>
      <c r="S37" s="61">
        <v>1675</v>
      </c>
      <c r="T37" s="68" t="s">
        <v>1061</v>
      </c>
      <c r="U37" s="52" t="s">
        <v>26</v>
      </c>
    </row>
    <row r="38" spans="1:21" ht="6" customHeight="1">
      <c r="A38" s="139" t="s">
        <v>14</v>
      </c>
      <c r="B38" s="130" t="s">
        <v>14</v>
      </c>
      <c r="C38" s="131" t="s">
        <v>14</v>
      </c>
      <c r="D38" s="131" t="s">
        <v>14</v>
      </c>
      <c r="E38" s="131" t="s">
        <v>14</v>
      </c>
      <c r="F38" s="131" t="s">
        <v>14</v>
      </c>
      <c r="G38" s="138" t="s">
        <v>14</v>
      </c>
      <c r="H38" s="134" t="s">
        <v>14</v>
      </c>
      <c r="I38" s="43" t="s">
        <v>14</v>
      </c>
      <c r="J38" s="43" t="s">
        <v>14</v>
      </c>
      <c r="K38" s="131" t="s">
        <v>14</v>
      </c>
      <c r="L38" s="43" t="s">
        <v>14</v>
      </c>
      <c r="M38" s="135" t="s">
        <v>14</v>
      </c>
      <c r="N38" s="43" t="s">
        <v>14</v>
      </c>
      <c r="O38" s="135" t="s">
        <v>14</v>
      </c>
      <c r="P38" s="43" t="s">
        <v>14</v>
      </c>
      <c r="Q38" s="135" t="s">
        <v>14</v>
      </c>
      <c r="R38" s="43" t="s">
        <v>14</v>
      </c>
      <c r="S38" s="43" t="s">
        <v>14</v>
      </c>
      <c r="T38" s="135" t="s">
        <v>14</v>
      </c>
      <c r="U38" s="43" t="s">
        <v>14</v>
      </c>
    </row>
    <row r="39" spans="1:21" s="14" customFormat="1" ht="12.6" customHeight="1">
      <c r="A39" s="73" t="s">
        <v>35</v>
      </c>
      <c r="B39" s="26" t="s">
        <v>727</v>
      </c>
      <c r="C39" s="10" t="s">
        <v>393</v>
      </c>
      <c r="D39" s="10" t="s">
        <v>65</v>
      </c>
      <c r="E39" s="10" t="s">
        <v>394</v>
      </c>
      <c r="F39" s="74" t="s">
        <v>36</v>
      </c>
      <c r="G39" s="75">
        <v>0.5</v>
      </c>
      <c r="H39" s="76">
        <v>0.54</v>
      </c>
      <c r="I39" s="9">
        <v>96.8</v>
      </c>
      <c r="J39" s="9">
        <v>78.400000000000006</v>
      </c>
      <c r="K39" s="10">
        <v>72</v>
      </c>
      <c r="L39" s="65">
        <f>AVERAGE(133,120,114,115,100,125,106,129,133,109,132,109,115,120,111,125)</f>
        <v>118.5</v>
      </c>
      <c r="M39" s="25" t="s">
        <v>1171</v>
      </c>
      <c r="N39" s="65">
        <f>AVERAGE(187,149,195,150,154,203,150,178,160,160,164,167)</f>
        <v>168.08333333333334</v>
      </c>
      <c r="O39" s="25" t="s">
        <v>1153</v>
      </c>
      <c r="P39" s="65">
        <v>175</v>
      </c>
      <c r="Q39" s="25" t="s">
        <v>1153</v>
      </c>
      <c r="R39" s="50" t="s">
        <v>456</v>
      </c>
      <c r="S39" s="65">
        <v>230</v>
      </c>
      <c r="T39" s="25" t="s">
        <v>1153</v>
      </c>
      <c r="U39" s="50" t="s">
        <v>30</v>
      </c>
    </row>
    <row r="40" spans="1:21" s="14" customFormat="1" ht="12.6" customHeight="1">
      <c r="A40" s="73" t="s">
        <v>35</v>
      </c>
      <c r="B40" s="26" t="s">
        <v>79</v>
      </c>
      <c r="C40" s="10" t="s">
        <v>80</v>
      </c>
      <c r="D40" s="10" t="s">
        <v>81</v>
      </c>
      <c r="E40" s="10" t="s">
        <v>82</v>
      </c>
      <c r="F40" s="74" t="s">
        <v>36</v>
      </c>
      <c r="G40" s="75">
        <v>1.5</v>
      </c>
      <c r="H40" s="76">
        <v>0.63</v>
      </c>
      <c r="I40" s="9">
        <v>143</v>
      </c>
      <c r="J40" s="9">
        <v>76</v>
      </c>
      <c r="K40" s="10">
        <v>58</v>
      </c>
      <c r="L40" s="65">
        <f>AVERAGE(182,160,154,185,153,214,156,133,153,179,188,175)</f>
        <v>169.33333333333334</v>
      </c>
      <c r="M40" s="25" t="s">
        <v>1171</v>
      </c>
      <c r="N40" s="65">
        <f>AVERAGE(200,212,225,273,199,209,209,199,256,250,260)</f>
        <v>226.54545454545453</v>
      </c>
      <c r="O40" s="25" t="s">
        <v>1171</v>
      </c>
      <c r="P40" s="65">
        <f>269*CA.US</f>
        <v>204.44</v>
      </c>
      <c r="Q40" s="25" t="s">
        <v>1153</v>
      </c>
      <c r="R40" s="50" t="s">
        <v>537</v>
      </c>
      <c r="S40" s="65">
        <v>235</v>
      </c>
      <c r="T40" s="25" t="s">
        <v>1153</v>
      </c>
      <c r="U40" s="50" t="s">
        <v>30</v>
      </c>
    </row>
    <row r="41" spans="1:21" s="14" customFormat="1" ht="12.6" customHeight="1">
      <c r="A41" s="73" t="s">
        <v>35</v>
      </c>
      <c r="B41" s="26" t="s">
        <v>1168</v>
      </c>
      <c r="C41" s="10" t="s">
        <v>80</v>
      </c>
      <c r="D41" s="10" t="s">
        <v>81</v>
      </c>
      <c r="E41" s="10" t="s">
        <v>82</v>
      </c>
      <c r="F41" s="74" t="s">
        <v>36</v>
      </c>
      <c r="G41" s="75">
        <v>1.2</v>
      </c>
      <c r="H41" s="76">
        <v>0.70799999999999996</v>
      </c>
      <c r="I41" s="9">
        <v>145.6</v>
      </c>
      <c r="J41" s="9">
        <v>80</v>
      </c>
      <c r="K41" s="10">
        <v>67</v>
      </c>
      <c r="L41" s="65">
        <f>AVERAGE(320)</f>
        <v>320</v>
      </c>
      <c r="M41" s="25" t="s">
        <v>1153</v>
      </c>
      <c r="N41" s="65">
        <f>AVERAGE(379,353,375)</f>
        <v>369</v>
      </c>
      <c r="O41" s="25" t="s">
        <v>1118</v>
      </c>
      <c r="P41" s="65" t="s">
        <v>14</v>
      </c>
      <c r="Q41" s="25" t="s">
        <v>14</v>
      </c>
      <c r="R41" s="50" t="s">
        <v>14</v>
      </c>
      <c r="S41" s="65" t="s">
        <v>14</v>
      </c>
      <c r="T41" s="25" t="s">
        <v>14</v>
      </c>
      <c r="U41" s="50" t="s">
        <v>14</v>
      </c>
    </row>
    <row r="42" spans="1:21" s="14" customFormat="1" ht="12.6" customHeight="1">
      <c r="A42" s="67" t="s">
        <v>35</v>
      </c>
      <c r="B42" s="57" t="s">
        <v>83</v>
      </c>
      <c r="C42" s="71" t="s">
        <v>80</v>
      </c>
      <c r="D42" s="71" t="s">
        <v>75</v>
      </c>
      <c r="E42" s="71" t="s">
        <v>82</v>
      </c>
      <c r="F42" s="72" t="s">
        <v>36</v>
      </c>
      <c r="G42" s="59">
        <v>1.4</v>
      </c>
      <c r="H42" s="40">
        <v>0.71</v>
      </c>
      <c r="I42" s="36">
        <v>99.9</v>
      </c>
      <c r="J42" s="36">
        <v>82.4</v>
      </c>
      <c r="K42" s="71">
        <v>58</v>
      </c>
      <c r="L42" s="61">
        <f>AVERAGE(399,350,359,361,300,428,335,300,362,306,379,380,371)</f>
        <v>356.15384615384613</v>
      </c>
      <c r="M42" s="68" t="s">
        <v>1171</v>
      </c>
      <c r="N42" s="61">
        <f>AVERAGE(529,429,439,485,470,440,440,499,437)</f>
        <v>463.11111111111109</v>
      </c>
      <c r="O42" s="68" t="s">
        <v>1118</v>
      </c>
      <c r="P42" s="61">
        <f>575*CA.US</f>
        <v>437</v>
      </c>
      <c r="Q42" s="68" t="s">
        <v>1153</v>
      </c>
      <c r="R42" s="52" t="s">
        <v>873</v>
      </c>
      <c r="S42" s="61">
        <v>590</v>
      </c>
      <c r="T42" s="68" t="s">
        <v>1153</v>
      </c>
      <c r="U42" s="52" t="s">
        <v>30</v>
      </c>
    </row>
  </sheetData>
  <sheetProtection password="990B" sheet="1" objects="1" scenarios="1"/>
  <phoneticPr fontId="0" type="noConversion"/>
  <pageMargins left="0.3" right="0" top="0.5" bottom="0" header="0.59055118110236204" footer="0.511811023622047"/>
  <pageSetup orientation="landscape" r:id="rId1"/>
  <headerFooter alignWithMargins="0">
    <oddHeader>&amp;R&amp;9(&amp;P of &amp;N)</oddHeader>
  </headerFooter>
  <ignoredErrors>
    <ignoredError sqref="C6 C30:C34 C41:C42 C36:C39" twoDigitTextYea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zoomScaleNormal="100" workbookViewId="0"/>
  </sheetViews>
  <sheetFormatPr defaultColWidth="9.140625" defaultRowHeight="12.6" customHeight="1"/>
  <cols>
    <col min="1" max="1" width="6.28515625" style="26" customWidth="1"/>
    <col min="2" max="2" width="21.85546875" style="140" customWidth="1"/>
    <col min="3" max="3" width="6.28515625" style="25" customWidth="1"/>
    <col min="4" max="4" width="6.7109375" style="25" customWidth="1"/>
    <col min="5" max="5" width="8" style="25" customWidth="1"/>
    <col min="6" max="6" width="4.42578125" style="25" customWidth="1"/>
    <col min="7" max="7" width="4.7109375" style="47" customWidth="1"/>
    <col min="8" max="8" width="4.7109375" style="76" customWidth="1"/>
    <col min="9" max="11" width="4.7109375" style="9" customWidth="1"/>
    <col min="12" max="12" width="5.28515625" style="9" customWidth="1"/>
    <col min="13" max="13" width="5.28515625" style="10" customWidth="1"/>
    <col min="14" max="14" width="5.28515625" style="9" customWidth="1"/>
    <col min="15" max="15" width="5.28515625" style="10" customWidth="1"/>
    <col min="16" max="16" width="5.28515625" style="9" customWidth="1"/>
    <col min="17" max="17" width="5.28515625" style="10" customWidth="1"/>
    <col min="18" max="18" width="6.5703125" style="26" customWidth="1"/>
    <col min="19" max="19" width="5.28515625" style="9" customWidth="1"/>
    <col min="20" max="20" width="5.28515625" style="10" customWidth="1"/>
    <col min="21" max="21" width="6.5703125" style="26" customWidth="1"/>
    <col min="22" max="16384" width="9.140625" style="26"/>
  </cols>
  <sheetData>
    <row r="1" spans="1:2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Q1" s="25" t="s">
        <v>14</v>
      </c>
      <c r="R1" s="22" t="str">
        <f>i!B3</f>
        <v>.2018-09-01</v>
      </c>
      <c r="T1" s="25" t="s">
        <v>14</v>
      </c>
      <c r="U1" s="9" t="s">
        <v>14</v>
      </c>
    </row>
    <row r="2" spans="1:21" s="14" customFormat="1" ht="12.6" customHeight="1">
      <c r="A2" s="73" t="str">
        <f>i!A3</f>
        <v>v.34</v>
      </c>
      <c r="B2" s="24"/>
      <c r="C2" s="177" t="s">
        <v>14</v>
      </c>
      <c r="D2" s="13" t="s">
        <v>14</v>
      </c>
      <c r="E2" s="177" t="s">
        <v>14</v>
      </c>
      <c r="F2" s="13" t="s">
        <v>14</v>
      </c>
      <c r="G2" s="34" t="s">
        <v>14</v>
      </c>
      <c r="H2" s="21" t="s">
        <v>14</v>
      </c>
      <c r="I2" s="21" t="s">
        <v>14</v>
      </c>
      <c r="J2" s="21" t="s">
        <v>14</v>
      </c>
      <c r="K2" s="20" t="s">
        <v>14</v>
      </c>
      <c r="L2" s="22" t="s">
        <v>14</v>
      </c>
      <c r="M2" s="10" t="s">
        <v>14</v>
      </c>
      <c r="N2" s="36" t="s">
        <v>14</v>
      </c>
      <c r="O2" s="10" t="s">
        <v>14</v>
      </c>
      <c r="P2" s="36" t="s">
        <v>14</v>
      </c>
      <c r="Q2" s="10" t="s">
        <v>14</v>
      </c>
      <c r="R2" s="36" t="s">
        <v>14</v>
      </c>
      <c r="S2" s="36" t="s">
        <v>14</v>
      </c>
      <c r="T2" s="10" t="s">
        <v>14</v>
      </c>
      <c r="U2" s="36" t="s">
        <v>14</v>
      </c>
    </row>
    <row r="3" spans="1:21" s="24" customFormat="1" ht="12.6" customHeight="1">
      <c r="A3" s="24" t="s">
        <v>14</v>
      </c>
      <c r="B3" s="24" t="s">
        <v>14</v>
      </c>
      <c r="C3" s="119" t="s">
        <v>14</v>
      </c>
      <c r="D3" s="178" t="s">
        <v>14</v>
      </c>
      <c r="E3" s="119" t="s">
        <v>14</v>
      </c>
      <c r="F3" s="178" t="s">
        <v>14</v>
      </c>
      <c r="G3" s="41" t="s">
        <v>14</v>
      </c>
      <c r="H3" s="39" t="s">
        <v>14</v>
      </c>
      <c r="I3" s="39" t="s">
        <v>14</v>
      </c>
      <c r="J3" s="39" t="s">
        <v>14</v>
      </c>
      <c r="K3" s="39" t="s">
        <v>14</v>
      </c>
      <c r="L3" s="42" t="s">
        <v>14</v>
      </c>
      <c r="M3" s="43"/>
      <c r="N3" s="43" t="s">
        <v>15</v>
      </c>
      <c r="O3" s="43" t="s">
        <v>14</v>
      </c>
      <c r="P3" s="179" t="s">
        <v>14</v>
      </c>
      <c r="Q3" s="125"/>
      <c r="R3" s="50" t="s">
        <v>16</v>
      </c>
      <c r="S3" s="36"/>
      <c r="T3" s="43" t="s">
        <v>14</v>
      </c>
      <c r="U3" s="52" t="s">
        <v>14</v>
      </c>
    </row>
    <row r="4" spans="1:21" ht="12.6" customHeight="1">
      <c r="A4" s="24" t="s">
        <v>1185</v>
      </c>
      <c r="C4" s="25" t="s">
        <v>4</v>
      </c>
      <c r="D4" s="25" t="s">
        <v>9</v>
      </c>
      <c r="E4" s="25" t="s">
        <v>14</v>
      </c>
      <c r="F4" s="123" t="s">
        <v>11</v>
      </c>
      <c r="G4" s="48" t="s">
        <v>264</v>
      </c>
      <c r="H4" s="76" t="s">
        <v>5</v>
      </c>
      <c r="I4" s="9" t="s">
        <v>298</v>
      </c>
      <c r="J4" s="9" t="s">
        <v>299</v>
      </c>
      <c r="K4" s="50" t="s">
        <v>300</v>
      </c>
      <c r="L4" s="51" t="s">
        <v>450</v>
      </c>
      <c r="M4" s="52"/>
      <c r="N4" s="53" t="s">
        <v>17</v>
      </c>
      <c r="O4" s="36"/>
      <c r="P4" s="56"/>
      <c r="Q4" s="43" t="s">
        <v>451</v>
      </c>
      <c r="R4" s="62"/>
      <c r="S4" s="181"/>
      <c r="T4" s="52" t="s">
        <v>7</v>
      </c>
      <c r="U4" s="52"/>
    </row>
    <row r="5" spans="1:21" ht="12.6" customHeight="1">
      <c r="A5" s="57" t="s">
        <v>14</v>
      </c>
      <c r="B5" s="182" t="s">
        <v>14</v>
      </c>
      <c r="C5" s="68" t="s">
        <v>18</v>
      </c>
      <c r="D5" s="68" t="s">
        <v>14</v>
      </c>
      <c r="E5" s="68" t="s">
        <v>14</v>
      </c>
      <c r="F5" s="72" t="s">
        <v>14</v>
      </c>
      <c r="G5" s="59" t="s">
        <v>34</v>
      </c>
      <c r="H5" s="40" t="s">
        <v>19</v>
      </c>
      <c r="I5" s="36" t="s">
        <v>18</v>
      </c>
      <c r="J5" s="36" t="s">
        <v>18</v>
      </c>
      <c r="K5" s="52" t="s">
        <v>18</v>
      </c>
      <c r="L5" s="61" t="s">
        <v>20</v>
      </c>
      <c r="M5" s="52" t="s">
        <v>21</v>
      </c>
      <c r="N5" s="36" t="s">
        <v>20</v>
      </c>
      <c r="O5" s="52" t="s">
        <v>21</v>
      </c>
      <c r="P5" s="61" t="s">
        <v>20</v>
      </c>
      <c r="Q5" s="36" t="s">
        <v>21</v>
      </c>
      <c r="R5" s="52" t="s">
        <v>22</v>
      </c>
      <c r="S5" s="55" t="s">
        <v>20</v>
      </c>
      <c r="T5" s="43" t="s">
        <v>21</v>
      </c>
      <c r="U5" s="62" t="s">
        <v>22</v>
      </c>
    </row>
    <row r="6" spans="1:21" ht="12.6" customHeight="1">
      <c r="A6" s="137" t="s">
        <v>1189</v>
      </c>
      <c r="B6" s="130"/>
      <c r="C6" s="43" t="s">
        <v>14</v>
      </c>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s="14" customFormat="1" ht="12.6" customHeight="1">
      <c r="A7" s="73" t="s">
        <v>35</v>
      </c>
      <c r="B7" s="26" t="s">
        <v>647</v>
      </c>
      <c r="C7" s="10">
        <v>24</v>
      </c>
      <c r="D7" s="10">
        <v>2.8</v>
      </c>
      <c r="E7" s="10">
        <f>1.6*C7</f>
        <v>38.400000000000006</v>
      </c>
      <c r="F7" s="74" t="s">
        <v>78</v>
      </c>
      <c r="G7" s="75">
        <v>0.16</v>
      </c>
      <c r="H7" s="76">
        <v>0.125</v>
      </c>
      <c r="I7" s="9">
        <v>22.8</v>
      </c>
      <c r="J7" s="9">
        <v>68.2</v>
      </c>
      <c r="K7" s="10">
        <v>52</v>
      </c>
      <c r="L7" s="65">
        <f>AVERAGE(82,100,109,99,90,100,110,100,103,108,109,100,105,100,101)</f>
        <v>101.06666666666666</v>
      </c>
      <c r="M7" s="25" t="s">
        <v>1171</v>
      </c>
      <c r="N7" s="65">
        <f>AVERAGE(126,121,135,133,123,130,135,120,136,118,113,120)</f>
        <v>125.83333333333333</v>
      </c>
      <c r="O7" s="25" t="s">
        <v>1171</v>
      </c>
      <c r="P7" s="65">
        <f>170*CA.US</f>
        <v>129.19999999999999</v>
      </c>
      <c r="Q7" s="25" t="s">
        <v>1153</v>
      </c>
      <c r="R7" s="50" t="s">
        <v>873</v>
      </c>
      <c r="S7" s="65">
        <v>126</v>
      </c>
      <c r="T7" s="25" t="s">
        <v>918</v>
      </c>
      <c r="U7" s="50" t="s">
        <v>28</v>
      </c>
    </row>
    <row r="8" spans="1:21" s="14" customFormat="1" ht="12.6" customHeight="1">
      <c r="A8" s="80" t="s">
        <v>35</v>
      </c>
      <c r="B8" s="73" t="s">
        <v>1175</v>
      </c>
      <c r="C8" s="103" t="s">
        <v>950</v>
      </c>
      <c r="D8" s="82">
        <v>2.8</v>
      </c>
      <c r="E8" s="81">
        <f>1.6*C8</f>
        <v>56</v>
      </c>
      <c r="F8" s="83" t="s">
        <v>78</v>
      </c>
      <c r="G8" s="84">
        <v>0.13</v>
      </c>
      <c r="H8" s="85">
        <v>0.19</v>
      </c>
      <c r="I8" s="81">
        <v>55.8</v>
      </c>
      <c r="J8" s="81">
        <v>69.2</v>
      </c>
      <c r="K8" s="86">
        <v>49</v>
      </c>
      <c r="L8" s="81">
        <f>AVERAGE(224)</f>
        <v>224</v>
      </c>
      <c r="M8" s="86" t="s">
        <v>1153</v>
      </c>
      <c r="N8" s="81">
        <f>AVERAGE(280,232)</f>
        <v>256</v>
      </c>
      <c r="O8" s="81" t="s">
        <v>1118</v>
      </c>
      <c r="P8" s="87" t="s">
        <v>14</v>
      </c>
      <c r="Q8" s="81" t="s">
        <v>14</v>
      </c>
      <c r="R8" s="86" t="s">
        <v>14</v>
      </c>
      <c r="S8" s="87" t="s">
        <v>14</v>
      </c>
      <c r="T8" s="81" t="s">
        <v>14</v>
      </c>
      <c r="U8" s="86" t="s">
        <v>14</v>
      </c>
    </row>
    <row r="9" spans="1:21" s="14" customFormat="1" ht="12.6" customHeight="1">
      <c r="A9" s="88" t="s">
        <v>35</v>
      </c>
      <c r="B9" s="67" t="s">
        <v>656</v>
      </c>
      <c r="C9" s="117">
        <v>60</v>
      </c>
      <c r="D9" s="102">
        <v>2.8</v>
      </c>
      <c r="E9" s="89">
        <f>1.6*C9</f>
        <v>96</v>
      </c>
      <c r="F9" s="90" t="s">
        <v>78</v>
      </c>
      <c r="G9" s="91">
        <v>0.2</v>
      </c>
      <c r="H9" s="92">
        <v>0.33500000000000002</v>
      </c>
      <c r="I9" s="89">
        <v>73</v>
      </c>
      <c r="J9" s="89">
        <v>69.8</v>
      </c>
      <c r="K9" s="93">
        <v>52</v>
      </c>
      <c r="L9" s="89">
        <f>AVERAGE(233,225,178,225,243,235,221,225,234,210,228,235,209)</f>
        <v>223.15384615384616</v>
      </c>
      <c r="M9" s="93" t="s">
        <v>1153</v>
      </c>
      <c r="N9" s="89">
        <f>AVERAGE(290,284,297,275,275,262,275,275,265,330,271,305,290)</f>
        <v>284.15384615384613</v>
      </c>
      <c r="O9" s="89" t="s">
        <v>1171</v>
      </c>
      <c r="P9" s="94">
        <f>329*CA.US</f>
        <v>250.04</v>
      </c>
      <c r="Q9" s="89" t="s">
        <v>1061</v>
      </c>
      <c r="R9" s="93" t="s">
        <v>537</v>
      </c>
      <c r="S9" s="94">
        <v>225</v>
      </c>
      <c r="T9" s="89" t="s">
        <v>1153</v>
      </c>
      <c r="U9" s="93" t="s">
        <v>26</v>
      </c>
    </row>
    <row r="10" spans="1:21" s="14" customFormat="1" ht="12.6" customHeight="1">
      <c r="A10" s="80" t="s">
        <v>84</v>
      </c>
      <c r="B10" s="73" t="s">
        <v>939</v>
      </c>
      <c r="C10" s="103" t="s">
        <v>897</v>
      </c>
      <c r="D10" s="82">
        <v>1.4</v>
      </c>
      <c r="E10" s="81">
        <f>1.6*C10</f>
        <v>48</v>
      </c>
      <c r="F10" s="9" t="s">
        <v>78</v>
      </c>
      <c r="G10" s="84">
        <v>0.3</v>
      </c>
      <c r="H10" s="85">
        <v>0.435</v>
      </c>
      <c r="I10" s="81">
        <v>63</v>
      </c>
      <c r="J10" s="81">
        <v>74</v>
      </c>
      <c r="K10" s="86">
        <v>62</v>
      </c>
      <c r="L10" s="65">
        <f>AVERAGE(261,275,250,250,223,250,280,293,250)</f>
        <v>259.11111111111109</v>
      </c>
      <c r="M10" s="25" t="s">
        <v>1171</v>
      </c>
      <c r="N10" s="65">
        <f>AVERAGE(349,350,348,320)</f>
        <v>341.75</v>
      </c>
      <c r="O10" s="25" t="s">
        <v>1153</v>
      </c>
      <c r="P10" s="65">
        <f>495*CA.US</f>
        <v>376.2</v>
      </c>
      <c r="Q10" s="25" t="s">
        <v>1153</v>
      </c>
      <c r="R10" s="50" t="s">
        <v>873</v>
      </c>
      <c r="S10" s="136">
        <v>500</v>
      </c>
      <c r="T10" s="25" t="s">
        <v>1110</v>
      </c>
      <c r="U10" s="50" t="s">
        <v>30</v>
      </c>
    </row>
    <row r="11" spans="1:21" s="14" customFormat="1" ht="12.6" customHeight="1">
      <c r="A11" s="80" t="s">
        <v>103</v>
      </c>
      <c r="B11" s="73" t="s">
        <v>901</v>
      </c>
      <c r="C11" s="103" t="s">
        <v>902</v>
      </c>
      <c r="D11" s="82">
        <v>2</v>
      </c>
      <c r="E11" s="81">
        <v>96</v>
      </c>
      <c r="F11" s="83" t="s">
        <v>78</v>
      </c>
      <c r="G11" s="84">
        <v>0.23</v>
      </c>
      <c r="H11" s="85">
        <v>0.39</v>
      </c>
      <c r="I11" s="81">
        <v>80</v>
      </c>
      <c r="J11" s="81">
        <v>73</v>
      </c>
      <c r="K11" s="86">
        <v>55</v>
      </c>
      <c r="L11" s="81">
        <f>AVERAGE(164,183,175,148,140,148)</f>
        <v>159.66666666666666</v>
      </c>
      <c r="M11" s="86" t="s">
        <v>1059</v>
      </c>
      <c r="N11" s="81">
        <f>AVERAGE(212,239,240,218,214,175,229,251,175,215)</f>
        <v>216.8</v>
      </c>
      <c r="O11" s="81" t="s">
        <v>1153</v>
      </c>
      <c r="P11" s="87">
        <v>280</v>
      </c>
      <c r="Q11" s="81" t="s">
        <v>918</v>
      </c>
      <c r="R11" s="86" t="s">
        <v>28</v>
      </c>
      <c r="S11" s="87">
        <v>320</v>
      </c>
      <c r="T11" s="81" t="s">
        <v>944</v>
      </c>
      <c r="U11" s="86" t="s">
        <v>26</v>
      </c>
    </row>
    <row r="12" spans="1:21" ht="6" customHeight="1">
      <c r="A12" s="139" t="s">
        <v>14</v>
      </c>
      <c r="B12" s="130" t="s">
        <v>14</v>
      </c>
      <c r="C12" s="131" t="s">
        <v>14</v>
      </c>
      <c r="D12" s="131" t="s">
        <v>14</v>
      </c>
      <c r="E12" s="131" t="s">
        <v>14</v>
      </c>
      <c r="F12" s="131" t="s">
        <v>14</v>
      </c>
      <c r="G12" s="138" t="s">
        <v>14</v>
      </c>
      <c r="H12" s="134" t="s">
        <v>14</v>
      </c>
      <c r="I12" s="43" t="s">
        <v>14</v>
      </c>
      <c r="J12" s="43" t="s">
        <v>14</v>
      </c>
      <c r="K12" s="131" t="s">
        <v>14</v>
      </c>
      <c r="L12" s="43" t="s">
        <v>14</v>
      </c>
      <c r="M12" s="135" t="s">
        <v>14</v>
      </c>
      <c r="N12" s="43" t="s">
        <v>14</v>
      </c>
      <c r="O12" s="135" t="s">
        <v>14</v>
      </c>
      <c r="P12" s="43" t="s">
        <v>14</v>
      </c>
      <c r="Q12" s="135" t="s">
        <v>14</v>
      </c>
      <c r="R12" s="43" t="s">
        <v>14</v>
      </c>
      <c r="S12" s="43" t="s">
        <v>14</v>
      </c>
      <c r="T12" s="135" t="s">
        <v>14</v>
      </c>
      <c r="U12" s="43" t="s">
        <v>14</v>
      </c>
    </row>
    <row r="13" spans="1:21" s="14" customFormat="1" ht="12.6" customHeight="1">
      <c r="A13" s="73" t="s">
        <v>35</v>
      </c>
      <c r="B13" s="26" t="s">
        <v>629</v>
      </c>
      <c r="C13" s="10" t="s">
        <v>630</v>
      </c>
      <c r="D13" s="10" t="s">
        <v>75</v>
      </c>
      <c r="E13" s="10" t="s">
        <v>405</v>
      </c>
      <c r="F13" s="74" t="s">
        <v>78</v>
      </c>
      <c r="G13" s="75">
        <v>0.22</v>
      </c>
      <c r="H13" s="76">
        <v>0.24</v>
      </c>
      <c r="I13" s="9">
        <v>72</v>
      </c>
      <c r="J13" s="9">
        <v>74.599999999999994</v>
      </c>
      <c r="K13" s="10">
        <v>67</v>
      </c>
      <c r="L13" s="65">
        <f>AVERAGE(165,193,200,183,194,193,160,205,209,201,175)</f>
        <v>188.90909090909091</v>
      </c>
      <c r="M13" s="25" t="s">
        <v>1171</v>
      </c>
      <c r="N13" s="65">
        <f>AVERAGE(220,223,257,239,200,210,232,307,219,211,210,210)</f>
        <v>228.16666666666666</v>
      </c>
      <c r="O13" s="25" t="s">
        <v>1171</v>
      </c>
      <c r="P13" s="65">
        <f>275*CA.US</f>
        <v>209</v>
      </c>
      <c r="Q13" s="25" t="s">
        <v>1153</v>
      </c>
      <c r="R13" s="50" t="s">
        <v>873</v>
      </c>
      <c r="S13" s="65">
        <v>268</v>
      </c>
      <c r="T13" s="25" t="s">
        <v>723</v>
      </c>
      <c r="U13" s="50" t="s">
        <v>28</v>
      </c>
    </row>
    <row r="14" spans="1:21" s="14" customFormat="1" ht="12.6" customHeight="1">
      <c r="A14" s="73" t="s">
        <v>35</v>
      </c>
      <c r="B14" s="114" t="s">
        <v>245</v>
      </c>
      <c r="C14" s="25" t="s">
        <v>77</v>
      </c>
      <c r="D14" s="10" t="s">
        <v>70</v>
      </c>
      <c r="E14" s="25" t="s">
        <v>42</v>
      </c>
      <c r="F14" s="74" t="s">
        <v>78</v>
      </c>
      <c r="G14" s="75">
        <v>0.24</v>
      </c>
      <c r="H14" s="76">
        <v>0.38500000000000001</v>
      </c>
      <c r="I14" s="9">
        <v>90</v>
      </c>
      <c r="J14" s="9">
        <v>83.5</v>
      </c>
      <c r="K14" s="10">
        <v>77</v>
      </c>
      <c r="L14" s="65">
        <f>AVERAGE(241,208,188,214,256,262,286,270,229,250,254,255)</f>
        <v>242.75</v>
      </c>
      <c r="M14" s="25" t="s">
        <v>1171</v>
      </c>
      <c r="N14" s="65">
        <f>AVERAGE(288,299,290,299,295,314,316,350,325,325,350)</f>
        <v>313.72727272727275</v>
      </c>
      <c r="O14" s="25" t="s">
        <v>1171</v>
      </c>
      <c r="P14" s="65">
        <f>278</f>
        <v>278</v>
      </c>
      <c r="Q14" s="25" t="s">
        <v>1153</v>
      </c>
      <c r="R14" s="50" t="s">
        <v>28</v>
      </c>
      <c r="S14" s="65">
        <v>425</v>
      </c>
      <c r="T14" s="25" t="s">
        <v>925</v>
      </c>
      <c r="U14" s="50" t="s">
        <v>27</v>
      </c>
    </row>
    <row r="15" spans="1:21" ht="12.6" customHeight="1">
      <c r="A15" s="73" t="s">
        <v>35</v>
      </c>
      <c r="B15" s="46" t="s">
        <v>302</v>
      </c>
      <c r="C15" s="9" t="s">
        <v>303</v>
      </c>
      <c r="D15" s="10" t="s">
        <v>65</v>
      </c>
      <c r="E15" s="50" t="s">
        <v>304</v>
      </c>
      <c r="F15" s="9" t="s">
        <v>78</v>
      </c>
      <c r="G15" s="75">
        <v>0.35</v>
      </c>
      <c r="H15" s="76">
        <v>0.57499999999999996</v>
      </c>
      <c r="I15" s="9">
        <v>88</v>
      </c>
      <c r="J15" s="9">
        <v>81.599999999999994</v>
      </c>
      <c r="K15" s="10">
        <v>72</v>
      </c>
      <c r="L15" s="65">
        <f>AVERAGE(310,238,230,250,221,231,203,239,299,249,272,220,260,306,312,300)</f>
        <v>258.75</v>
      </c>
      <c r="M15" s="118" t="s">
        <v>1171</v>
      </c>
      <c r="N15" s="65">
        <f>AVERAGE(329,405,407,376,371,325,362,329,350,398,390,330,330,350)</f>
        <v>360.85714285714283</v>
      </c>
      <c r="O15" s="25" t="s">
        <v>1171</v>
      </c>
      <c r="P15" s="65">
        <f>400</f>
        <v>400</v>
      </c>
      <c r="Q15" s="25" t="s">
        <v>1153</v>
      </c>
      <c r="R15" s="50" t="s">
        <v>28</v>
      </c>
      <c r="S15" s="65">
        <v>468</v>
      </c>
      <c r="T15" s="25" t="s">
        <v>925</v>
      </c>
      <c r="U15" s="50" t="s">
        <v>28</v>
      </c>
    </row>
    <row r="16" spans="1:21" s="14" customFormat="1" ht="12.6" customHeight="1">
      <c r="A16" s="73" t="s">
        <v>35</v>
      </c>
      <c r="B16" s="114" t="s">
        <v>246</v>
      </c>
      <c r="C16" s="25" t="s">
        <v>158</v>
      </c>
      <c r="D16" s="10">
        <v>2.8</v>
      </c>
      <c r="E16" s="25" t="s">
        <v>159</v>
      </c>
      <c r="F16" s="74" t="s">
        <v>78</v>
      </c>
      <c r="G16" s="75">
        <v>0.35</v>
      </c>
      <c r="H16" s="76">
        <v>0.64500000000000002</v>
      </c>
      <c r="I16" s="9">
        <v>110</v>
      </c>
      <c r="J16" s="9">
        <v>84</v>
      </c>
      <c r="K16" s="10">
        <v>77</v>
      </c>
      <c r="L16" s="65">
        <f>AVERAGE(400,383,392,368,421,390,408,450,385,407,407,457,414,400)</f>
        <v>405.85714285714283</v>
      </c>
      <c r="M16" s="25" t="s">
        <v>1153</v>
      </c>
      <c r="N16" s="65">
        <f>AVERAGE(573,532,450,502,490,520,450,460,475,500,490,500,533)</f>
        <v>498.07692307692309</v>
      </c>
      <c r="O16" s="25" t="s">
        <v>1153</v>
      </c>
      <c r="P16" s="65">
        <v>572</v>
      </c>
      <c r="Q16" s="25" t="s">
        <v>1153</v>
      </c>
      <c r="R16" s="50" t="s">
        <v>28</v>
      </c>
      <c r="S16" s="65">
        <f>595*CA.US</f>
        <v>452.2</v>
      </c>
      <c r="T16" s="25" t="s">
        <v>1153</v>
      </c>
      <c r="U16" s="50" t="s">
        <v>873</v>
      </c>
    </row>
    <row r="17" spans="1:21" s="14" customFormat="1" ht="12.6" customHeight="1">
      <c r="A17" s="73" t="s">
        <v>35</v>
      </c>
      <c r="B17" s="26" t="s">
        <v>640</v>
      </c>
      <c r="C17" s="10" t="s">
        <v>488</v>
      </c>
      <c r="D17" s="10" t="s">
        <v>65</v>
      </c>
      <c r="E17" s="10" t="s">
        <v>641</v>
      </c>
      <c r="F17" s="74" t="s">
        <v>78</v>
      </c>
      <c r="G17" s="75">
        <v>0.25</v>
      </c>
      <c r="H17" s="76">
        <v>0.20499999999999999</v>
      </c>
      <c r="I17" s="9">
        <v>75.2</v>
      </c>
      <c r="J17" s="9">
        <v>69</v>
      </c>
      <c r="K17" s="10">
        <v>52</v>
      </c>
      <c r="L17" s="65">
        <f>AVERAGE(65,68,70,70,49,59)</f>
        <v>63.5</v>
      </c>
      <c r="M17" s="25" t="s">
        <v>1118</v>
      </c>
      <c r="N17" s="65">
        <f>AVERAGE(80,99,84,100,98)</f>
        <v>92.2</v>
      </c>
      <c r="O17" s="25" t="s">
        <v>1171</v>
      </c>
      <c r="P17" s="65">
        <v>100</v>
      </c>
      <c r="Q17" s="25" t="s">
        <v>951</v>
      </c>
      <c r="R17" s="50" t="s">
        <v>945</v>
      </c>
      <c r="S17" s="65">
        <v>115</v>
      </c>
      <c r="T17" s="25" t="s">
        <v>925</v>
      </c>
      <c r="U17" s="50" t="s">
        <v>28</v>
      </c>
    </row>
    <row r="18" spans="1:21" s="14" customFormat="1" ht="12.6" customHeight="1">
      <c r="A18" s="73" t="s">
        <v>35</v>
      </c>
      <c r="B18" s="114" t="s">
        <v>929</v>
      </c>
      <c r="C18" s="25" t="s">
        <v>488</v>
      </c>
      <c r="D18" s="10" t="s">
        <v>81</v>
      </c>
      <c r="E18" s="25" t="s">
        <v>641</v>
      </c>
      <c r="F18" s="74" t="s">
        <v>78</v>
      </c>
      <c r="G18" s="75">
        <v>0.25</v>
      </c>
      <c r="H18" s="76">
        <v>0.215</v>
      </c>
      <c r="I18" s="9">
        <v>61.8</v>
      </c>
      <c r="J18" s="9">
        <v>66.5</v>
      </c>
      <c r="K18" s="10">
        <v>58</v>
      </c>
      <c r="L18" s="65">
        <f>AVERAGE(0)</f>
        <v>0</v>
      </c>
      <c r="M18" s="25" t="s">
        <v>14</v>
      </c>
      <c r="N18" s="65">
        <f>AVERAGE(0)</f>
        <v>0</v>
      </c>
      <c r="O18" s="25" t="s">
        <v>14</v>
      </c>
      <c r="P18" s="65" t="s">
        <v>14</v>
      </c>
      <c r="Q18" s="25" t="s">
        <v>14</v>
      </c>
      <c r="R18" s="50" t="s">
        <v>14</v>
      </c>
      <c r="S18" s="136">
        <v>249</v>
      </c>
      <c r="T18" s="25" t="s">
        <v>953</v>
      </c>
      <c r="U18" s="50" t="s">
        <v>30</v>
      </c>
    </row>
    <row r="19" spans="1:21" s="14" customFormat="1" ht="12.6" customHeight="1">
      <c r="A19" s="73" t="s">
        <v>35</v>
      </c>
      <c r="B19" s="114" t="s">
        <v>654</v>
      </c>
      <c r="C19" s="25" t="s">
        <v>613</v>
      </c>
      <c r="D19" s="10" t="s">
        <v>65</v>
      </c>
      <c r="E19" s="25" t="s">
        <v>655</v>
      </c>
      <c r="F19" s="74" t="s">
        <v>78</v>
      </c>
      <c r="G19" s="75">
        <v>0.39</v>
      </c>
      <c r="H19" s="76">
        <v>0.48</v>
      </c>
      <c r="I19" s="9">
        <v>96</v>
      </c>
      <c r="J19" s="9">
        <v>76.599999999999994</v>
      </c>
      <c r="K19" s="10">
        <v>67</v>
      </c>
      <c r="L19" s="65">
        <f>AVERAGE(143,165,166,146,123,160,174,125,142,170,133,188,175)</f>
        <v>154.61538461538461</v>
      </c>
      <c r="M19" s="25" t="s">
        <v>1171</v>
      </c>
      <c r="N19" s="65">
        <f>AVERAGE(200,195,210,181,190,206,190,213,200,185,220,210,225)</f>
        <v>201.92307692307693</v>
      </c>
      <c r="O19" s="25" t="s">
        <v>1171</v>
      </c>
      <c r="P19" s="65">
        <v>300</v>
      </c>
      <c r="Q19" s="25" t="s">
        <v>1153</v>
      </c>
      <c r="R19" s="50" t="s">
        <v>948</v>
      </c>
      <c r="S19" s="65">
        <v>260</v>
      </c>
      <c r="T19" s="25" t="s">
        <v>1061</v>
      </c>
      <c r="U19" s="50" t="s">
        <v>30</v>
      </c>
    </row>
    <row r="20" spans="1:21" s="14" customFormat="1" ht="12.6" customHeight="1">
      <c r="A20" s="73" t="s">
        <v>35</v>
      </c>
      <c r="B20" s="114" t="s">
        <v>886</v>
      </c>
      <c r="C20" s="25" t="s">
        <v>613</v>
      </c>
      <c r="D20" s="10" t="s">
        <v>65</v>
      </c>
      <c r="E20" s="25" t="s">
        <v>655</v>
      </c>
      <c r="F20" s="74" t="s">
        <v>78</v>
      </c>
      <c r="G20" s="75">
        <v>0.39</v>
      </c>
      <c r="H20" s="76">
        <v>0.51500000000000001</v>
      </c>
      <c r="I20" s="9">
        <v>96</v>
      </c>
      <c r="J20" s="9">
        <v>77.400000000000006</v>
      </c>
      <c r="K20" s="10">
        <v>67</v>
      </c>
      <c r="L20" s="65">
        <f>AVERAGE(231,249,259,264,269)</f>
        <v>254.4</v>
      </c>
      <c r="M20" s="25" t="s">
        <v>1171</v>
      </c>
      <c r="N20" s="136">
        <f>AVERAGE(349,350,350)</f>
        <v>349.66666666666669</v>
      </c>
      <c r="O20" s="25" t="s">
        <v>1091</v>
      </c>
      <c r="P20" s="65">
        <v>360</v>
      </c>
      <c r="Q20" s="25" t="s">
        <v>1153</v>
      </c>
      <c r="R20" s="50" t="s">
        <v>633</v>
      </c>
      <c r="S20" s="136">
        <v>600</v>
      </c>
      <c r="T20" s="25" t="s">
        <v>892</v>
      </c>
      <c r="U20" s="50" t="s">
        <v>30</v>
      </c>
    </row>
    <row r="21" spans="1:21" s="14" customFormat="1" ht="12.6" customHeight="1">
      <c r="A21" s="73" t="s">
        <v>35</v>
      </c>
      <c r="B21" s="26" t="s">
        <v>651</v>
      </c>
      <c r="C21" s="10" t="s">
        <v>652</v>
      </c>
      <c r="D21" s="10" t="s">
        <v>81</v>
      </c>
      <c r="E21" s="10" t="s">
        <v>653</v>
      </c>
      <c r="F21" s="74" t="s">
        <v>78</v>
      </c>
      <c r="G21" s="75">
        <v>0.85</v>
      </c>
      <c r="H21" s="76">
        <v>0.375</v>
      </c>
      <c r="I21" s="9">
        <v>111.2</v>
      </c>
      <c r="J21" s="9">
        <v>70</v>
      </c>
      <c r="K21" s="10">
        <v>58</v>
      </c>
      <c r="L21" s="65">
        <f>AVERAGE(110,106,100,104,103,109,100)</f>
        <v>104.57142857142857</v>
      </c>
      <c r="M21" s="25" t="s">
        <v>1171</v>
      </c>
      <c r="N21" s="65">
        <f>AVERAGE(129,119,110,120,143,136,112,135)</f>
        <v>125.5</v>
      </c>
      <c r="O21" s="25" t="s">
        <v>1171</v>
      </c>
      <c r="P21" s="65">
        <f>129*CA.US</f>
        <v>98.04</v>
      </c>
      <c r="Q21" s="25" t="s">
        <v>702</v>
      </c>
      <c r="R21" s="50" t="s">
        <v>537</v>
      </c>
      <c r="S21" s="65">
        <v>125</v>
      </c>
      <c r="T21" s="25" t="s">
        <v>925</v>
      </c>
      <c r="U21" s="50" t="s">
        <v>27</v>
      </c>
    </row>
    <row r="22" spans="1:21" ht="6" customHeight="1">
      <c r="A22" s="139" t="s">
        <v>14</v>
      </c>
      <c r="B22" s="130" t="s">
        <v>14</v>
      </c>
      <c r="C22" s="131" t="s">
        <v>14</v>
      </c>
      <c r="D22" s="131" t="s">
        <v>14</v>
      </c>
      <c r="E22" s="131" t="s">
        <v>14</v>
      </c>
      <c r="F22" s="131" t="s">
        <v>14</v>
      </c>
      <c r="G22" s="138" t="s">
        <v>14</v>
      </c>
      <c r="H22" s="134" t="s">
        <v>14</v>
      </c>
      <c r="I22" s="43" t="s">
        <v>14</v>
      </c>
      <c r="J22" s="43" t="s">
        <v>14</v>
      </c>
      <c r="K22" s="131" t="s">
        <v>14</v>
      </c>
      <c r="L22" s="43" t="s">
        <v>14</v>
      </c>
      <c r="M22" s="135" t="s">
        <v>14</v>
      </c>
      <c r="N22" s="43" t="s">
        <v>14</v>
      </c>
      <c r="O22" s="135" t="s">
        <v>14</v>
      </c>
      <c r="P22" s="43" t="s">
        <v>14</v>
      </c>
      <c r="Q22" s="135" t="s">
        <v>14</v>
      </c>
      <c r="R22" s="43" t="s">
        <v>14</v>
      </c>
      <c r="S22" s="43" t="s">
        <v>14</v>
      </c>
      <c r="T22" s="135" t="s">
        <v>14</v>
      </c>
      <c r="U22" s="43" t="s">
        <v>14</v>
      </c>
    </row>
    <row r="23" spans="1:21" s="14" customFormat="1" ht="12.6" customHeight="1">
      <c r="A23" s="73" t="s">
        <v>84</v>
      </c>
      <c r="B23" s="114" t="s">
        <v>1132</v>
      </c>
      <c r="C23" s="25" t="s">
        <v>887</v>
      </c>
      <c r="D23" s="10">
        <v>1.8</v>
      </c>
      <c r="E23" s="25" t="s">
        <v>641</v>
      </c>
      <c r="F23" s="74" t="s">
        <v>78</v>
      </c>
      <c r="G23" s="75">
        <v>0.28699999999999998</v>
      </c>
      <c r="H23" s="76">
        <v>0.81100000000000005</v>
      </c>
      <c r="I23" s="9">
        <v>121</v>
      </c>
      <c r="J23" s="9">
        <v>78</v>
      </c>
      <c r="K23" s="10">
        <v>72</v>
      </c>
      <c r="L23" s="65">
        <f>AVERAGE(539,550,560,452,525,498)</f>
        <v>520.66666666666663</v>
      </c>
      <c r="M23" s="25" t="s">
        <v>1171</v>
      </c>
      <c r="N23" s="65">
        <f>AVERAGE(649,661,607,640,648,640,600,599,618,606)</f>
        <v>626.79999999999995</v>
      </c>
      <c r="O23" s="25" t="s">
        <v>1153</v>
      </c>
      <c r="P23" s="65">
        <f>699*CA.US</f>
        <v>531.24</v>
      </c>
      <c r="Q23" s="25" t="s">
        <v>1153</v>
      </c>
      <c r="R23" s="50" t="s">
        <v>537</v>
      </c>
      <c r="S23" s="65">
        <v>620</v>
      </c>
      <c r="T23" s="25" t="s">
        <v>970</v>
      </c>
      <c r="U23" s="50" t="s">
        <v>26</v>
      </c>
    </row>
    <row r="24" spans="1:21" s="14" customFormat="1" ht="12.6" customHeight="1">
      <c r="A24" s="73" t="s">
        <v>84</v>
      </c>
      <c r="B24" s="114" t="s">
        <v>938</v>
      </c>
      <c r="C24" s="25" t="s">
        <v>906</v>
      </c>
      <c r="D24" s="10">
        <v>1.8</v>
      </c>
      <c r="E24" s="25" t="s">
        <v>907</v>
      </c>
      <c r="F24" s="74" t="s">
        <v>78</v>
      </c>
      <c r="G24" s="75">
        <v>0.95</v>
      </c>
      <c r="H24" s="76">
        <v>1.49</v>
      </c>
      <c r="I24" s="9">
        <v>170.7</v>
      </c>
      <c r="J24" s="9">
        <v>93.5</v>
      </c>
      <c r="K24" s="10">
        <v>82</v>
      </c>
      <c r="L24" s="65">
        <f>AVERAGE(710,760,750,752,750,775,698)</f>
        <v>742.14285714285711</v>
      </c>
      <c r="M24" s="25" t="s">
        <v>1171</v>
      </c>
      <c r="N24" s="65">
        <f>AVERAGE(860,879,839,820,805,842,710)</f>
        <v>822.14285714285711</v>
      </c>
      <c r="O24" s="25" t="s">
        <v>1171</v>
      </c>
      <c r="P24" s="65">
        <f>1200*CA.US</f>
        <v>912</v>
      </c>
      <c r="Q24" s="25" t="s">
        <v>1061</v>
      </c>
      <c r="R24" s="50" t="s">
        <v>327</v>
      </c>
      <c r="S24" s="136">
        <v>1100</v>
      </c>
      <c r="T24" s="25" t="s">
        <v>1110</v>
      </c>
      <c r="U24" s="50" t="s">
        <v>30</v>
      </c>
    </row>
    <row r="25" spans="1:21" s="14" customFormat="1" ht="12.6" customHeight="1">
      <c r="A25" s="88" t="s">
        <v>84</v>
      </c>
      <c r="B25" s="67" t="s">
        <v>914</v>
      </c>
      <c r="C25" s="89" t="s">
        <v>915</v>
      </c>
      <c r="D25" s="102">
        <v>2.8</v>
      </c>
      <c r="E25" s="89" t="s">
        <v>916</v>
      </c>
      <c r="F25" s="90" t="s">
        <v>78</v>
      </c>
      <c r="G25" s="91">
        <v>0.82</v>
      </c>
      <c r="H25" s="92">
        <v>1.34</v>
      </c>
      <c r="I25" s="89">
        <v>199</v>
      </c>
      <c r="J25" s="89">
        <v>86</v>
      </c>
      <c r="K25" s="93">
        <v>67</v>
      </c>
      <c r="L25" s="94">
        <f>AVERAGE(315,470,380,330,400,410)</f>
        <v>384.16666666666669</v>
      </c>
      <c r="M25" s="93" t="s">
        <v>1171</v>
      </c>
      <c r="N25" s="89">
        <f>AVERAGE(599,639,649)</f>
        <v>629</v>
      </c>
      <c r="O25" s="89" t="s">
        <v>1171</v>
      </c>
      <c r="P25" s="94">
        <v>367</v>
      </c>
      <c r="Q25" s="89" t="s">
        <v>918</v>
      </c>
      <c r="R25" s="93" t="s">
        <v>28</v>
      </c>
      <c r="S25" s="211" t="s">
        <v>14</v>
      </c>
      <c r="T25" s="89" t="s">
        <v>14</v>
      </c>
      <c r="U25" s="93" t="s">
        <v>14</v>
      </c>
    </row>
    <row r="26" spans="1:21" ht="6" customHeight="1">
      <c r="A26" s="139" t="s">
        <v>14</v>
      </c>
      <c r="B26" s="130" t="s">
        <v>14</v>
      </c>
      <c r="C26" s="131" t="s">
        <v>14</v>
      </c>
      <c r="D26" s="131" t="s">
        <v>14</v>
      </c>
      <c r="E26" s="131" t="s">
        <v>14</v>
      </c>
      <c r="F26" s="131" t="s">
        <v>14</v>
      </c>
      <c r="G26" s="138" t="s">
        <v>14</v>
      </c>
      <c r="H26" s="134" t="s">
        <v>14</v>
      </c>
      <c r="I26" s="43" t="s">
        <v>14</v>
      </c>
      <c r="J26" s="43" t="s">
        <v>14</v>
      </c>
      <c r="K26" s="131" t="s">
        <v>14</v>
      </c>
      <c r="L26" s="43" t="s">
        <v>14</v>
      </c>
      <c r="M26" s="135" t="s">
        <v>14</v>
      </c>
      <c r="N26" s="43" t="s">
        <v>14</v>
      </c>
      <c r="O26" s="135" t="s">
        <v>14</v>
      </c>
      <c r="P26" s="43" t="s">
        <v>14</v>
      </c>
      <c r="Q26" s="135" t="s">
        <v>14</v>
      </c>
      <c r="R26" s="43" t="s">
        <v>14</v>
      </c>
      <c r="S26" s="43" t="s">
        <v>14</v>
      </c>
      <c r="T26" s="135" t="s">
        <v>14</v>
      </c>
      <c r="U26" s="43" t="s">
        <v>14</v>
      </c>
    </row>
    <row r="27" spans="1:21" s="14" customFormat="1" ht="12.6" customHeight="1">
      <c r="A27" s="80" t="s">
        <v>111</v>
      </c>
      <c r="B27" s="73" t="s">
        <v>1131</v>
      </c>
      <c r="C27" s="103" t="s">
        <v>908</v>
      </c>
      <c r="D27" s="82">
        <v>2.8</v>
      </c>
      <c r="E27" s="81" t="s">
        <v>909</v>
      </c>
      <c r="F27" s="83" t="s">
        <v>78</v>
      </c>
      <c r="G27" s="84">
        <v>0.28000000000000003</v>
      </c>
      <c r="H27" s="85">
        <v>0.56000000000000005</v>
      </c>
      <c r="I27" s="81">
        <v>92</v>
      </c>
      <c r="J27" s="81">
        <v>89</v>
      </c>
      <c r="K27" s="86">
        <v>82</v>
      </c>
      <c r="L27" s="81">
        <f>AVERAGE(300,345)</f>
        <v>322.5</v>
      </c>
      <c r="M27" s="86" t="s">
        <v>1118</v>
      </c>
      <c r="N27" s="81">
        <f>AVERAGE(420,360)</f>
        <v>390</v>
      </c>
      <c r="O27" s="81" t="s">
        <v>1118</v>
      </c>
      <c r="P27" s="87" t="s">
        <v>14</v>
      </c>
      <c r="Q27" s="81" t="s">
        <v>14</v>
      </c>
      <c r="R27" s="86" t="s">
        <v>14</v>
      </c>
      <c r="S27" s="116">
        <v>500</v>
      </c>
      <c r="T27" s="81" t="s">
        <v>1153</v>
      </c>
      <c r="U27" s="86" t="s">
        <v>30</v>
      </c>
    </row>
    <row r="28" spans="1:21" s="14" customFormat="1" ht="12.6" customHeight="1">
      <c r="A28" s="80" t="s">
        <v>111</v>
      </c>
      <c r="B28" s="73" t="s">
        <v>1129</v>
      </c>
      <c r="C28" s="103" t="s">
        <v>903</v>
      </c>
      <c r="D28" s="81">
        <v>4</v>
      </c>
      <c r="E28" s="81" t="s">
        <v>904</v>
      </c>
      <c r="F28" s="83" t="s">
        <v>78</v>
      </c>
      <c r="G28" s="84">
        <v>0.25</v>
      </c>
      <c r="H28" s="85">
        <v>0.53</v>
      </c>
      <c r="I28" s="81">
        <v>89.5</v>
      </c>
      <c r="J28" s="81">
        <v>84</v>
      </c>
      <c r="K28" s="86">
        <v>77</v>
      </c>
      <c r="L28" s="81">
        <f>AVERAGE(148,141)</f>
        <v>144.5</v>
      </c>
      <c r="M28" s="86" t="s">
        <v>1118</v>
      </c>
      <c r="N28" s="81">
        <f>AVERAGE(238,238,210)</f>
        <v>228.66666666666666</v>
      </c>
      <c r="O28" s="81" t="s">
        <v>1153</v>
      </c>
      <c r="P28" s="99" t="s">
        <v>14</v>
      </c>
      <c r="Q28" s="81" t="s">
        <v>14</v>
      </c>
      <c r="R28" s="100" t="s">
        <v>14</v>
      </c>
      <c r="S28" s="101" t="s">
        <v>1130</v>
      </c>
      <c r="T28" s="81" t="s">
        <v>1153</v>
      </c>
      <c r="U28" s="100" t="s">
        <v>30</v>
      </c>
    </row>
    <row r="29" spans="1:21" s="14" customFormat="1" ht="12.6" customHeight="1">
      <c r="A29" s="73" t="s">
        <v>111</v>
      </c>
      <c r="B29" s="46" t="s">
        <v>898</v>
      </c>
      <c r="C29" s="9" t="s">
        <v>899</v>
      </c>
      <c r="D29" s="10">
        <v>2</v>
      </c>
      <c r="E29" s="50" t="s">
        <v>900</v>
      </c>
      <c r="F29" s="9" t="s">
        <v>78</v>
      </c>
      <c r="G29" s="75">
        <v>0.28000000000000003</v>
      </c>
      <c r="H29" s="76">
        <v>0.72499999999999998</v>
      </c>
      <c r="I29" s="9">
        <v>106</v>
      </c>
      <c r="J29" s="9">
        <v>89</v>
      </c>
      <c r="K29" s="10">
        <v>82</v>
      </c>
      <c r="L29" s="65">
        <f>AVERAGE(0)</f>
        <v>0</v>
      </c>
      <c r="M29" s="25" t="s">
        <v>14</v>
      </c>
      <c r="N29" s="65">
        <f>AVERAGE(579,400)</f>
        <v>489.5</v>
      </c>
      <c r="O29" s="25" t="s">
        <v>1110</v>
      </c>
      <c r="P29" s="65" t="s">
        <v>14</v>
      </c>
      <c r="Q29" s="25" t="s">
        <v>14</v>
      </c>
      <c r="R29" s="50" t="s">
        <v>14</v>
      </c>
      <c r="S29" s="136">
        <v>600</v>
      </c>
      <c r="T29" s="25" t="s">
        <v>1153</v>
      </c>
      <c r="U29" s="50" t="s">
        <v>30</v>
      </c>
    </row>
    <row r="30" spans="1:21" s="14" customFormat="1" ht="12.6" customHeight="1">
      <c r="A30" s="73" t="s">
        <v>111</v>
      </c>
      <c r="B30" s="46" t="s">
        <v>1116</v>
      </c>
      <c r="C30" s="9" t="s">
        <v>1114</v>
      </c>
      <c r="D30" s="10">
        <v>2.8</v>
      </c>
      <c r="E30" s="50" t="s">
        <v>1115</v>
      </c>
      <c r="F30" s="9" t="s">
        <v>78</v>
      </c>
      <c r="G30" s="75">
        <v>0.3</v>
      </c>
      <c r="H30" s="76">
        <v>0.61</v>
      </c>
      <c r="I30" s="9">
        <v>97.4</v>
      </c>
      <c r="J30" s="9">
        <v>84</v>
      </c>
      <c r="K30" s="10">
        <v>77</v>
      </c>
      <c r="L30" s="65">
        <f>AVERAGE(0)</f>
        <v>0</v>
      </c>
      <c r="M30" s="25" t="s">
        <v>14</v>
      </c>
      <c r="N30" s="65">
        <f>AVERAGE(250,185)</f>
        <v>217.5</v>
      </c>
      <c r="O30" s="25" t="s">
        <v>1110</v>
      </c>
      <c r="P30" s="65">
        <f>250*CA.US</f>
        <v>190</v>
      </c>
      <c r="Q30" s="25" t="s">
        <v>1153</v>
      </c>
      <c r="R30" s="50" t="s">
        <v>873</v>
      </c>
      <c r="S30" s="65" t="s">
        <v>14</v>
      </c>
      <c r="T30" s="25" t="s">
        <v>14</v>
      </c>
      <c r="U30" s="50" t="s">
        <v>14</v>
      </c>
    </row>
    <row r="31" spans="1:21" s="14" customFormat="1" ht="12.6" customHeight="1">
      <c r="A31" s="73" t="s">
        <v>111</v>
      </c>
      <c r="B31" s="46" t="s">
        <v>921</v>
      </c>
      <c r="C31" s="9" t="s">
        <v>922</v>
      </c>
      <c r="D31" s="10">
        <v>2.8</v>
      </c>
      <c r="E31" s="50" t="s">
        <v>923</v>
      </c>
      <c r="F31" s="9" t="s">
        <v>78</v>
      </c>
      <c r="G31" s="75">
        <v>1</v>
      </c>
      <c r="H31" s="76">
        <v>0.84499999999999997</v>
      </c>
      <c r="I31" s="9">
        <v>135</v>
      </c>
      <c r="J31" s="9">
        <v>78</v>
      </c>
      <c r="K31" s="10">
        <v>67</v>
      </c>
      <c r="L31" s="65">
        <f>AVERAGE(275)</f>
        <v>275</v>
      </c>
      <c r="M31" s="25" t="s">
        <v>1118</v>
      </c>
      <c r="N31" s="65">
        <f>AVERAGE(325,291)</f>
        <v>308</v>
      </c>
      <c r="O31" s="25" t="s">
        <v>1118</v>
      </c>
      <c r="P31" s="65" t="s">
        <v>14</v>
      </c>
      <c r="Q31" s="25" t="s">
        <v>14</v>
      </c>
      <c r="R31" s="50" t="s">
        <v>14</v>
      </c>
      <c r="S31" s="65" t="s">
        <v>14</v>
      </c>
      <c r="T31" s="25" t="s">
        <v>14</v>
      </c>
      <c r="U31" s="50" t="s">
        <v>14</v>
      </c>
    </row>
    <row r="32" spans="1:21" ht="6" customHeight="1">
      <c r="A32" s="139" t="s">
        <v>14</v>
      </c>
      <c r="B32" s="130" t="s">
        <v>14</v>
      </c>
      <c r="C32" s="131" t="s">
        <v>14</v>
      </c>
      <c r="D32" s="131" t="s">
        <v>14</v>
      </c>
      <c r="E32" s="131" t="s">
        <v>14</v>
      </c>
      <c r="F32" s="131" t="s">
        <v>14</v>
      </c>
      <c r="G32" s="138" t="s">
        <v>14</v>
      </c>
      <c r="H32" s="134" t="s">
        <v>14</v>
      </c>
      <c r="I32" s="43" t="s">
        <v>14</v>
      </c>
      <c r="J32" s="43" t="s">
        <v>14</v>
      </c>
      <c r="K32" s="131" t="s">
        <v>14</v>
      </c>
      <c r="L32" s="43" t="s">
        <v>14</v>
      </c>
      <c r="M32" s="135" t="s">
        <v>14</v>
      </c>
      <c r="N32" s="43" t="s">
        <v>14</v>
      </c>
      <c r="O32" s="135" t="s">
        <v>14</v>
      </c>
      <c r="P32" s="43" t="s">
        <v>14</v>
      </c>
      <c r="Q32" s="135" t="s">
        <v>14</v>
      </c>
      <c r="R32" s="43" t="s">
        <v>14</v>
      </c>
      <c r="S32" s="43" t="s">
        <v>14</v>
      </c>
      <c r="T32" s="135" t="s">
        <v>14</v>
      </c>
      <c r="U32" s="43" t="s">
        <v>14</v>
      </c>
    </row>
    <row r="33" spans="1:21" ht="12.6" customHeight="1">
      <c r="A33" s="137" t="s">
        <v>957</v>
      </c>
      <c r="B33" s="130"/>
      <c r="C33" s="43" t="s">
        <v>14</v>
      </c>
      <c r="D33" s="131" t="s">
        <v>14</v>
      </c>
      <c r="E33" s="43" t="s">
        <v>14</v>
      </c>
      <c r="F33" s="135" t="s">
        <v>14</v>
      </c>
      <c r="G33" s="138" t="s">
        <v>14</v>
      </c>
      <c r="H33" s="134" t="s">
        <v>14</v>
      </c>
      <c r="I33" s="43" t="s">
        <v>14</v>
      </c>
      <c r="J33" s="43" t="s">
        <v>14</v>
      </c>
      <c r="K33" s="43" t="s">
        <v>14</v>
      </c>
      <c r="L33" s="43" t="s">
        <v>14</v>
      </c>
      <c r="M33" s="43" t="s">
        <v>14</v>
      </c>
      <c r="N33" s="43" t="s">
        <v>14</v>
      </c>
      <c r="O33" s="43" t="s">
        <v>14</v>
      </c>
      <c r="P33" s="43" t="s">
        <v>14</v>
      </c>
      <c r="Q33" s="43" t="s">
        <v>14</v>
      </c>
      <c r="R33" s="43" t="s">
        <v>14</v>
      </c>
      <c r="S33" s="43" t="s">
        <v>14</v>
      </c>
      <c r="T33" s="43" t="s">
        <v>14</v>
      </c>
      <c r="U33" s="43" t="s">
        <v>14</v>
      </c>
    </row>
    <row r="34" spans="1:21" s="14" customFormat="1" ht="12.6" customHeight="1">
      <c r="A34" s="67" t="s">
        <v>447</v>
      </c>
      <c r="B34" s="58" t="s">
        <v>917</v>
      </c>
      <c r="C34" s="36" t="s">
        <v>956</v>
      </c>
      <c r="D34" s="71" t="s">
        <v>144</v>
      </c>
      <c r="E34" s="52">
        <f>1.6*C34</f>
        <v>16</v>
      </c>
      <c r="F34" s="36" t="s">
        <v>78</v>
      </c>
      <c r="G34" s="59">
        <v>0.24</v>
      </c>
      <c r="H34" s="40">
        <v>0.59</v>
      </c>
      <c r="I34" s="36">
        <v>106.1</v>
      </c>
      <c r="J34" s="36">
        <v>87</v>
      </c>
      <c r="K34" s="71" t="s">
        <v>1005</v>
      </c>
      <c r="L34" s="61">
        <f t="shared" ref="L34:L35" si="0">AVERAGE(0)</f>
        <v>0</v>
      </c>
      <c r="M34" s="68" t="s">
        <v>14</v>
      </c>
      <c r="N34" s="61">
        <f t="shared" ref="N34" si="1">AVERAGE(0)</f>
        <v>0</v>
      </c>
      <c r="O34" s="68" t="s">
        <v>14</v>
      </c>
      <c r="P34" s="61" t="s">
        <v>14</v>
      </c>
      <c r="Q34" s="68" t="s">
        <v>14</v>
      </c>
      <c r="R34" s="52" t="s">
        <v>14</v>
      </c>
      <c r="S34" s="61" t="s">
        <v>14</v>
      </c>
      <c r="T34" s="68" t="s">
        <v>14</v>
      </c>
      <c r="U34" s="52" t="s">
        <v>14</v>
      </c>
    </row>
    <row r="35" spans="1:21" s="14" customFormat="1" ht="12.6" customHeight="1">
      <c r="A35" s="67" t="s">
        <v>447</v>
      </c>
      <c r="B35" s="58" t="s">
        <v>949</v>
      </c>
      <c r="C35" s="36" t="s">
        <v>955</v>
      </c>
      <c r="D35" s="71">
        <v>2</v>
      </c>
      <c r="E35" s="52">
        <f t="shared" ref="E35" si="2">1.6*C35</f>
        <v>25.6</v>
      </c>
      <c r="F35" s="36" t="s">
        <v>78</v>
      </c>
      <c r="G35" s="59">
        <v>0.2</v>
      </c>
      <c r="H35" s="40">
        <v>0.58299999999999996</v>
      </c>
      <c r="I35" s="36">
        <v>89.4</v>
      </c>
      <c r="J35" s="36">
        <v>83</v>
      </c>
      <c r="K35" s="71">
        <v>77</v>
      </c>
      <c r="L35" s="61">
        <f t="shared" si="0"/>
        <v>0</v>
      </c>
      <c r="M35" s="68" t="s">
        <v>14</v>
      </c>
      <c r="N35" s="61">
        <f>AVERAGE(216)</f>
        <v>216</v>
      </c>
      <c r="O35" s="68" t="s">
        <v>1153</v>
      </c>
      <c r="P35" s="61">
        <v>170</v>
      </c>
      <c r="Q35" s="68" t="s">
        <v>1153</v>
      </c>
      <c r="R35" s="52" t="s">
        <v>633</v>
      </c>
      <c r="S35" s="61">
        <v>319</v>
      </c>
      <c r="T35" s="68" t="s">
        <v>953</v>
      </c>
      <c r="U35" s="52" t="s">
        <v>30</v>
      </c>
    </row>
    <row r="36" spans="1:21" s="14" customFormat="1" ht="12.6" customHeight="1">
      <c r="A36" s="73"/>
      <c r="B36" s="46"/>
      <c r="C36" s="9"/>
      <c r="D36" s="10"/>
      <c r="E36" s="9"/>
      <c r="F36" s="9"/>
      <c r="G36" s="47"/>
      <c r="H36" s="76"/>
      <c r="I36" s="9"/>
      <c r="J36" s="9"/>
      <c r="K36" s="10"/>
      <c r="L36" s="9"/>
      <c r="M36" s="25"/>
      <c r="N36" s="9"/>
      <c r="O36" s="25"/>
      <c r="P36" s="9"/>
      <c r="Q36" s="25"/>
      <c r="R36" s="9"/>
      <c r="S36" s="9"/>
      <c r="T36" s="25"/>
      <c r="U36" s="9"/>
    </row>
  </sheetData>
  <sheetProtection password="990B" sheet="1" objects="1" scenarios="1"/>
  <pageMargins left="0.3" right="0" top="0.5" bottom="0" header="0.59055118110236204" footer="0.511811023622047"/>
  <pageSetup orientation="landscape" r:id="rId1"/>
  <headerFooter alignWithMargins="0">
    <oddHeader>&amp;R&amp;9(&amp;P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24"/>
  <sheetViews>
    <sheetView zoomScaleNormal="100" workbookViewId="0"/>
  </sheetViews>
  <sheetFormatPr defaultColWidth="9.140625" defaultRowHeight="12.6" customHeight="1"/>
  <cols>
    <col min="1" max="1" width="6.28515625" style="26" customWidth="1"/>
    <col min="2" max="2" width="21.85546875" style="140" customWidth="1"/>
    <col min="3" max="3" width="6.28515625" style="25" customWidth="1"/>
    <col min="4" max="4" width="6.7109375" style="25" customWidth="1"/>
    <col min="5" max="5" width="8" style="25" customWidth="1"/>
    <col min="6" max="6" width="4.42578125" style="25" customWidth="1"/>
    <col min="7" max="7" width="4.7109375" style="47" customWidth="1"/>
    <col min="8" max="8" width="4.7109375" style="76" customWidth="1"/>
    <col min="9" max="11" width="4.7109375" style="9" customWidth="1"/>
    <col min="12" max="12" width="5.28515625" style="9" customWidth="1"/>
    <col min="13" max="13" width="5.28515625" style="10" customWidth="1"/>
    <col min="14" max="14" width="5.28515625" style="9" customWidth="1"/>
    <col min="15" max="15" width="5.28515625" style="10" customWidth="1"/>
    <col min="16" max="16" width="5.28515625" style="9" customWidth="1"/>
    <col min="17" max="17" width="5.28515625" style="10" customWidth="1"/>
    <col min="18" max="18" width="6.5703125" style="26" customWidth="1"/>
    <col min="19" max="19" width="5.28515625" style="9" customWidth="1"/>
    <col min="20" max="20" width="5.28515625" style="10" customWidth="1"/>
    <col min="21" max="21" width="6.5703125" style="26" customWidth="1"/>
    <col min="22" max="16384" width="9.140625" style="26"/>
  </cols>
  <sheetData>
    <row r="1" spans="1:2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Q1" s="25" t="s">
        <v>14</v>
      </c>
      <c r="R1" s="22" t="str">
        <f>i!B3</f>
        <v>.2018-09-01</v>
      </c>
      <c r="T1" s="25" t="s">
        <v>14</v>
      </c>
      <c r="U1" s="9" t="s">
        <v>14</v>
      </c>
    </row>
    <row r="2" spans="1:21" s="14" customFormat="1" ht="12.6" customHeight="1">
      <c r="A2" s="73" t="str">
        <f>i!A3</f>
        <v>v.34</v>
      </c>
      <c r="B2" s="24"/>
      <c r="C2" s="177" t="s">
        <v>14</v>
      </c>
      <c r="D2" s="13" t="s">
        <v>14</v>
      </c>
      <c r="E2" s="177" t="s">
        <v>14</v>
      </c>
      <c r="F2" s="13" t="s">
        <v>14</v>
      </c>
      <c r="G2" s="34" t="s">
        <v>14</v>
      </c>
      <c r="H2" s="21" t="s">
        <v>14</v>
      </c>
      <c r="I2" s="21" t="s">
        <v>14</v>
      </c>
      <c r="J2" s="21" t="s">
        <v>14</v>
      </c>
      <c r="K2" s="20" t="s">
        <v>14</v>
      </c>
      <c r="L2" s="22" t="s">
        <v>14</v>
      </c>
      <c r="M2" s="10" t="s">
        <v>14</v>
      </c>
      <c r="N2" s="36" t="s">
        <v>14</v>
      </c>
      <c r="O2" s="10" t="s">
        <v>14</v>
      </c>
      <c r="P2" s="36" t="s">
        <v>14</v>
      </c>
      <c r="Q2" s="10" t="s">
        <v>14</v>
      </c>
      <c r="R2" s="36" t="s">
        <v>14</v>
      </c>
      <c r="S2" s="36" t="s">
        <v>14</v>
      </c>
      <c r="T2" s="10" t="s">
        <v>14</v>
      </c>
      <c r="U2" s="36" t="s">
        <v>14</v>
      </c>
    </row>
    <row r="3" spans="1:21" s="24" customFormat="1" ht="12.6" customHeight="1">
      <c r="A3" s="24" t="s">
        <v>14</v>
      </c>
      <c r="B3" s="24" t="s">
        <v>14</v>
      </c>
      <c r="C3" s="119" t="s">
        <v>14</v>
      </c>
      <c r="D3" s="178" t="s">
        <v>14</v>
      </c>
      <c r="E3" s="119" t="s">
        <v>14</v>
      </c>
      <c r="F3" s="178" t="s">
        <v>14</v>
      </c>
      <c r="G3" s="41" t="s">
        <v>14</v>
      </c>
      <c r="H3" s="39" t="s">
        <v>14</v>
      </c>
      <c r="I3" s="39" t="s">
        <v>14</v>
      </c>
      <c r="J3" s="39" t="s">
        <v>14</v>
      </c>
      <c r="K3" s="39" t="s">
        <v>14</v>
      </c>
      <c r="L3" s="42" t="s">
        <v>14</v>
      </c>
      <c r="M3" s="43"/>
      <c r="N3" s="43" t="s">
        <v>15</v>
      </c>
      <c r="O3" s="43" t="s">
        <v>14</v>
      </c>
      <c r="P3" s="179" t="s">
        <v>14</v>
      </c>
      <c r="Q3" s="125"/>
      <c r="R3" s="50" t="s">
        <v>16</v>
      </c>
      <c r="S3" s="36"/>
      <c r="T3" s="43" t="s">
        <v>14</v>
      </c>
      <c r="U3" s="52" t="s">
        <v>14</v>
      </c>
    </row>
    <row r="4" spans="1:21" ht="12.6" customHeight="1">
      <c r="A4" s="24" t="s">
        <v>1188</v>
      </c>
      <c r="C4" s="25" t="s">
        <v>4</v>
      </c>
      <c r="D4" s="25" t="s">
        <v>9</v>
      </c>
      <c r="E4" s="25" t="s">
        <v>14</v>
      </c>
      <c r="F4" s="123" t="s">
        <v>11</v>
      </c>
      <c r="G4" s="48" t="s">
        <v>264</v>
      </c>
      <c r="H4" s="76" t="s">
        <v>5</v>
      </c>
      <c r="I4" s="9" t="s">
        <v>298</v>
      </c>
      <c r="J4" s="9" t="s">
        <v>299</v>
      </c>
      <c r="K4" s="50" t="s">
        <v>300</v>
      </c>
      <c r="L4" s="51" t="s">
        <v>450</v>
      </c>
      <c r="M4" s="52"/>
      <c r="N4" s="53" t="s">
        <v>17</v>
      </c>
      <c r="O4" s="36"/>
      <c r="P4" s="56"/>
      <c r="Q4" s="43" t="s">
        <v>451</v>
      </c>
      <c r="R4" s="62"/>
      <c r="S4" s="181"/>
      <c r="T4" s="52" t="s">
        <v>7</v>
      </c>
      <c r="U4" s="52"/>
    </row>
    <row r="5" spans="1:21" ht="12.6" customHeight="1">
      <c r="A5" s="57" t="s">
        <v>14</v>
      </c>
      <c r="B5" s="182" t="s">
        <v>14</v>
      </c>
      <c r="C5" s="68" t="s">
        <v>18</v>
      </c>
      <c r="D5" s="68" t="s">
        <v>14</v>
      </c>
      <c r="E5" s="68" t="s">
        <v>14</v>
      </c>
      <c r="F5" s="72" t="s">
        <v>14</v>
      </c>
      <c r="G5" s="59" t="s">
        <v>34</v>
      </c>
      <c r="H5" s="40" t="s">
        <v>19</v>
      </c>
      <c r="I5" s="36" t="s">
        <v>18</v>
      </c>
      <c r="J5" s="36" t="s">
        <v>18</v>
      </c>
      <c r="K5" s="52" t="s">
        <v>18</v>
      </c>
      <c r="L5" s="61" t="s">
        <v>20</v>
      </c>
      <c r="M5" s="52" t="s">
        <v>21</v>
      </c>
      <c r="N5" s="36" t="s">
        <v>20</v>
      </c>
      <c r="O5" s="52" t="s">
        <v>21</v>
      </c>
      <c r="P5" s="61" t="s">
        <v>20</v>
      </c>
      <c r="Q5" s="36" t="s">
        <v>21</v>
      </c>
      <c r="R5" s="52" t="s">
        <v>22</v>
      </c>
      <c r="S5" s="55" t="s">
        <v>20</v>
      </c>
      <c r="T5" s="43" t="s">
        <v>21</v>
      </c>
      <c r="U5" s="62" t="s">
        <v>22</v>
      </c>
    </row>
    <row r="6" spans="1:21" ht="12.6" customHeight="1">
      <c r="A6" s="137" t="s">
        <v>1182</v>
      </c>
      <c r="B6" s="130"/>
      <c r="C6" s="43" t="s">
        <v>14</v>
      </c>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s="14" customFormat="1" ht="12.6" customHeight="1">
      <c r="A7" s="73" t="s">
        <v>35</v>
      </c>
      <c r="B7" s="26" t="s">
        <v>975</v>
      </c>
      <c r="C7" s="10">
        <v>22</v>
      </c>
      <c r="D7" s="10">
        <v>2</v>
      </c>
      <c r="E7" s="10">
        <f>1.6*C7</f>
        <v>35.200000000000003</v>
      </c>
      <c r="F7" s="74" t="s">
        <v>910</v>
      </c>
      <c r="G7" s="75">
        <v>0.15</v>
      </c>
      <c r="H7" s="76">
        <v>0.105</v>
      </c>
      <c r="I7" s="9">
        <v>23.7</v>
      </c>
      <c r="J7" s="9">
        <v>60.9</v>
      </c>
      <c r="K7" s="10">
        <v>43</v>
      </c>
      <c r="L7" s="65">
        <f>AVERAGE(158,114,109,108,110,103,109,117)</f>
        <v>116</v>
      </c>
      <c r="M7" s="25" t="s">
        <v>1171</v>
      </c>
      <c r="N7" s="65">
        <f>AVERAGE(199,180,175,175,180)</f>
        <v>181.8</v>
      </c>
      <c r="O7" s="25" t="s">
        <v>1171</v>
      </c>
      <c r="P7" s="65">
        <v>182</v>
      </c>
      <c r="Q7" s="25" t="s">
        <v>1153</v>
      </c>
      <c r="R7" s="50" t="s">
        <v>28</v>
      </c>
      <c r="S7" s="65">
        <v>250</v>
      </c>
      <c r="T7" s="25" t="s">
        <v>918</v>
      </c>
      <c r="U7" s="50" t="s">
        <v>30</v>
      </c>
    </row>
    <row r="8" spans="1:21" s="14" customFormat="1" ht="12.6" customHeight="1">
      <c r="A8" s="73" t="s">
        <v>35</v>
      </c>
      <c r="B8" s="46" t="s">
        <v>1174</v>
      </c>
      <c r="C8" s="9">
        <v>32</v>
      </c>
      <c r="D8" s="10">
        <v>1.4</v>
      </c>
      <c r="E8" s="50">
        <f>1.6*C8</f>
        <v>51.2</v>
      </c>
      <c r="F8" s="9" t="s">
        <v>910</v>
      </c>
      <c r="G8" s="75">
        <v>0.23</v>
      </c>
      <c r="H8" s="76">
        <v>0.23499999999999999</v>
      </c>
      <c r="I8" s="9">
        <v>56.5</v>
      </c>
      <c r="J8" s="9">
        <v>60.9</v>
      </c>
      <c r="K8" s="10">
        <v>43</v>
      </c>
      <c r="L8" s="65" t="s">
        <v>14</v>
      </c>
      <c r="M8" s="25" t="s">
        <v>14</v>
      </c>
      <c r="N8" s="65" t="s">
        <v>14</v>
      </c>
      <c r="O8" s="25" t="s">
        <v>14</v>
      </c>
      <c r="P8" s="65" t="s">
        <v>14</v>
      </c>
      <c r="Q8" s="25" t="s">
        <v>14</v>
      </c>
      <c r="R8" s="50" t="s">
        <v>14</v>
      </c>
      <c r="S8" s="136">
        <v>480</v>
      </c>
      <c r="T8" s="25" t="s">
        <v>1177</v>
      </c>
      <c r="U8" s="50" t="s">
        <v>30</v>
      </c>
    </row>
    <row r="9" spans="1:21" s="14" customFormat="1" ht="12.6" customHeight="1">
      <c r="A9" s="73" t="s">
        <v>35</v>
      </c>
      <c r="B9" s="46" t="s">
        <v>976</v>
      </c>
      <c r="C9" s="9">
        <v>28</v>
      </c>
      <c r="D9" s="10">
        <v>3.5</v>
      </c>
      <c r="E9" s="50">
        <f>1.6*C9</f>
        <v>44.800000000000004</v>
      </c>
      <c r="F9" s="9" t="s">
        <v>910</v>
      </c>
      <c r="G9" s="75">
        <v>9.2999999999999999E-2</v>
      </c>
      <c r="H9" s="76">
        <v>0.13</v>
      </c>
      <c r="I9" s="9">
        <v>45.5</v>
      </c>
      <c r="J9" s="9">
        <v>60.9</v>
      </c>
      <c r="K9" s="10">
        <v>43</v>
      </c>
      <c r="L9" s="65">
        <f>AVERAGE(200,184,171)</f>
        <v>185</v>
      </c>
      <c r="M9" s="25" t="s">
        <v>1153</v>
      </c>
      <c r="N9" s="65">
        <f>AVERAGE(239,247)</f>
        <v>243</v>
      </c>
      <c r="O9" s="25" t="s">
        <v>1153</v>
      </c>
      <c r="P9" s="65">
        <f>295*CA.US</f>
        <v>224.2</v>
      </c>
      <c r="Q9" s="25" t="s">
        <v>1153</v>
      </c>
      <c r="R9" s="50" t="s">
        <v>873</v>
      </c>
      <c r="S9" s="65">
        <v>300</v>
      </c>
      <c r="T9" s="25" t="s">
        <v>918</v>
      </c>
      <c r="U9" s="50" t="s">
        <v>30</v>
      </c>
    </row>
    <row r="10" spans="1:21" s="14" customFormat="1" ht="12.6" customHeight="1">
      <c r="A10" s="73" t="s">
        <v>35</v>
      </c>
      <c r="B10" s="26" t="s">
        <v>977</v>
      </c>
      <c r="C10" s="10" t="s">
        <v>978</v>
      </c>
      <c r="D10" s="10" t="s">
        <v>81</v>
      </c>
      <c r="E10" s="10" t="s">
        <v>887</v>
      </c>
      <c r="F10" s="74" t="s">
        <v>910</v>
      </c>
      <c r="G10" s="75">
        <v>0.15</v>
      </c>
      <c r="H10" s="76">
        <v>0.22</v>
      </c>
      <c r="I10" s="9">
        <v>58.2</v>
      </c>
      <c r="J10" s="9">
        <v>60.9</v>
      </c>
      <c r="K10" s="10">
        <v>55</v>
      </c>
      <c r="L10" s="65">
        <f>AVERAGE(290,280,269,320)</f>
        <v>289.75</v>
      </c>
      <c r="M10" s="25" t="s">
        <v>1153</v>
      </c>
      <c r="N10" s="65">
        <f>AVERAGE(299,315,329,318,298,319,320,318,325,330,319,330,320)</f>
        <v>318.46153846153845</v>
      </c>
      <c r="O10" s="25" t="s">
        <v>1171</v>
      </c>
      <c r="P10" s="65">
        <f>395*CA.US</f>
        <v>300.2</v>
      </c>
      <c r="Q10" s="25" t="s">
        <v>1061</v>
      </c>
      <c r="R10" s="50" t="s">
        <v>873</v>
      </c>
      <c r="S10" s="65">
        <v>400</v>
      </c>
      <c r="T10" s="25" t="s">
        <v>918</v>
      </c>
      <c r="U10" s="50" t="s">
        <v>30</v>
      </c>
    </row>
    <row r="11" spans="1:21" ht="12.6" customHeight="1">
      <c r="A11" s="73" t="s">
        <v>35</v>
      </c>
      <c r="B11" s="46" t="s">
        <v>979</v>
      </c>
      <c r="C11" s="9" t="s">
        <v>980</v>
      </c>
      <c r="D11" s="10" t="s">
        <v>981</v>
      </c>
      <c r="E11" s="50" t="s">
        <v>982</v>
      </c>
      <c r="F11" s="9" t="s">
        <v>910</v>
      </c>
      <c r="G11" s="75">
        <v>0.25</v>
      </c>
      <c r="H11" s="76">
        <v>0.13</v>
      </c>
      <c r="I11" s="9">
        <v>44.5</v>
      </c>
      <c r="J11" s="9">
        <v>60.9</v>
      </c>
      <c r="K11" s="10">
        <v>49</v>
      </c>
      <c r="L11" s="65">
        <f>AVERAGE(71,115,115,120,110,125,115,106)</f>
        <v>109.625</v>
      </c>
      <c r="M11" s="25" t="s">
        <v>1171</v>
      </c>
      <c r="N11" s="65">
        <f>AVERAGE(140,130,130,128)</f>
        <v>132</v>
      </c>
      <c r="O11" s="118" t="s">
        <v>1153</v>
      </c>
      <c r="P11" s="65">
        <v>168</v>
      </c>
      <c r="Q11" s="25" t="s">
        <v>1153</v>
      </c>
      <c r="R11" s="50" t="s">
        <v>28</v>
      </c>
      <c r="S11" s="65">
        <v>182</v>
      </c>
      <c r="T11" s="25" t="s">
        <v>1153</v>
      </c>
      <c r="U11" s="50" t="s">
        <v>28</v>
      </c>
    </row>
    <row r="12" spans="1:21" s="14" customFormat="1" ht="12.6" customHeight="1">
      <c r="A12" s="73" t="s">
        <v>35</v>
      </c>
      <c r="B12" s="26" t="s">
        <v>983</v>
      </c>
      <c r="C12" s="10" t="s">
        <v>488</v>
      </c>
      <c r="D12" s="10" t="s">
        <v>65</v>
      </c>
      <c r="E12" s="10" t="s">
        <v>641</v>
      </c>
      <c r="F12" s="74" t="s">
        <v>910</v>
      </c>
      <c r="G12" s="75">
        <v>0.25</v>
      </c>
      <c r="H12" s="76">
        <v>0.21</v>
      </c>
      <c r="I12" s="9">
        <v>61</v>
      </c>
      <c r="J12" s="9">
        <v>61</v>
      </c>
      <c r="K12" s="10">
        <v>52</v>
      </c>
      <c r="L12" s="65">
        <f>AVERAGE(89,93,53,75,67,77,60)</f>
        <v>73.428571428571431</v>
      </c>
      <c r="M12" s="25" t="s">
        <v>1171</v>
      </c>
      <c r="N12" s="65">
        <f>AVERAGE(105,111,120,109,100,95,90)</f>
        <v>104.28571428571429</v>
      </c>
      <c r="O12" s="25" t="s">
        <v>1118</v>
      </c>
      <c r="P12" s="65">
        <v>105</v>
      </c>
      <c r="Q12" s="25" t="s">
        <v>1153</v>
      </c>
      <c r="R12" s="50" t="s">
        <v>28</v>
      </c>
      <c r="S12" s="65">
        <v>400</v>
      </c>
      <c r="T12" s="25" t="s">
        <v>918</v>
      </c>
      <c r="U12" s="50" t="s">
        <v>30</v>
      </c>
    </row>
    <row r="13" spans="1:21" s="14" customFormat="1" ht="12.6" customHeight="1">
      <c r="A13" s="73" t="s">
        <v>35</v>
      </c>
      <c r="B13" s="46" t="s">
        <v>984</v>
      </c>
      <c r="C13" s="9" t="s">
        <v>985</v>
      </c>
      <c r="D13" s="10" t="s">
        <v>981</v>
      </c>
      <c r="E13" s="50" t="s">
        <v>986</v>
      </c>
      <c r="F13" s="9" t="s">
        <v>910</v>
      </c>
      <c r="G13" s="75">
        <v>0.25</v>
      </c>
      <c r="H13" s="76">
        <v>0.3</v>
      </c>
      <c r="I13" s="9">
        <v>86.4</v>
      </c>
      <c r="J13" s="9">
        <v>61</v>
      </c>
      <c r="K13" s="10">
        <v>55</v>
      </c>
      <c r="L13" s="65">
        <f>AVERAGE(0)</f>
        <v>0</v>
      </c>
      <c r="M13" s="25" t="s">
        <v>14</v>
      </c>
      <c r="N13" s="65" t="s">
        <v>14</v>
      </c>
      <c r="O13" s="25" t="s">
        <v>14</v>
      </c>
      <c r="P13" s="65" t="s">
        <v>14</v>
      </c>
      <c r="Q13" s="25" t="s">
        <v>14</v>
      </c>
      <c r="R13" s="50" t="s">
        <v>14</v>
      </c>
      <c r="S13" s="136">
        <v>500</v>
      </c>
      <c r="T13" s="25" t="s">
        <v>918</v>
      </c>
      <c r="U13" s="50" t="s">
        <v>30</v>
      </c>
    </row>
    <row r="14" spans="1:21" ht="12.6" customHeight="1">
      <c r="A14" s="73" t="s">
        <v>35</v>
      </c>
      <c r="B14" s="46" t="s">
        <v>987</v>
      </c>
      <c r="C14" s="9" t="s">
        <v>988</v>
      </c>
      <c r="D14" s="10" t="s">
        <v>989</v>
      </c>
      <c r="E14" s="50" t="s">
        <v>990</v>
      </c>
      <c r="F14" s="9" t="s">
        <v>910</v>
      </c>
      <c r="G14" s="75">
        <v>1</v>
      </c>
      <c r="H14" s="76">
        <v>0.26</v>
      </c>
      <c r="I14" s="9">
        <v>86.5</v>
      </c>
      <c r="J14" s="9">
        <v>60.9</v>
      </c>
      <c r="K14" s="10">
        <v>52</v>
      </c>
      <c r="L14" s="65">
        <f>AVERAGE(168,170,162,170)</f>
        <v>167.5</v>
      </c>
      <c r="M14" s="25" t="s">
        <v>1118</v>
      </c>
      <c r="N14" s="65">
        <f>AVERAGE(220,222,215,238,238,200,209,190,190,189,190,190)</f>
        <v>207.58333333333334</v>
      </c>
      <c r="O14" s="118" t="s">
        <v>1171</v>
      </c>
      <c r="P14" s="65" t="s">
        <v>14</v>
      </c>
      <c r="Q14" s="25" t="s">
        <v>14</v>
      </c>
      <c r="R14" s="50" t="s">
        <v>14</v>
      </c>
      <c r="S14" s="65">
        <v>133</v>
      </c>
      <c r="T14" s="25" t="s">
        <v>918</v>
      </c>
      <c r="U14" s="50" t="s">
        <v>28</v>
      </c>
    </row>
    <row r="15" spans="1:21" ht="6" customHeight="1">
      <c r="A15" s="139" t="s">
        <v>14</v>
      </c>
      <c r="B15" s="130" t="s">
        <v>14</v>
      </c>
      <c r="C15" s="131" t="s">
        <v>14</v>
      </c>
      <c r="D15" s="131" t="s">
        <v>14</v>
      </c>
      <c r="E15" s="131" t="s">
        <v>14</v>
      </c>
      <c r="F15" s="131" t="s">
        <v>14</v>
      </c>
      <c r="G15" s="138" t="s">
        <v>14</v>
      </c>
      <c r="H15" s="134" t="s">
        <v>14</v>
      </c>
      <c r="I15" s="43" t="s">
        <v>14</v>
      </c>
      <c r="J15" s="43" t="s">
        <v>14</v>
      </c>
      <c r="K15" s="131" t="s">
        <v>14</v>
      </c>
      <c r="L15" s="43" t="s">
        <v>14</v>
      </c>
      <c r="M15" s="135" t="s">
        <v>14</v>
      </c>
      <c r="N15" s="43" t="s">
        <v>14</v>
      </c>
      <c r="O15" s="135" t="s">
        <v>14</v>
      </c>
      <c r="P15" s="43" t="s">
        <v>14</v>
      </c>
      <c r="Q15" s="135" t="s">
        <v>14</v>
      </c>
      <c r="R15" s="43" t="s">
        <v>14</v>
      </c>
      <c r="S15" s="43" t="s">
        <v>14</v>
      </c>
      <c r="T15" s="135" t="s">
        <v>14</v>
      </c>
      <c r="U15" s="43" t="s">
        <v>14</v>
      </c>
    </row>
    <row r="16" spans="1:21" s="14" customFormat="1" ht="12.6" customHeight="1">
      <c r="A16" s="73" t="s">
        <v>35</v>
      </c>
      <c r="B16" s="26" t="s">
        <v>991</v>
      </c>
      <c r="C16" s="10" t="s">
        <v>122</v>
      </c>
      <c r="D16" s="10" t="s">
        <v>122</v>
      </c>
      <c r="E16" s="10" t="s">
        <v>122</v>
      </c>
      <c r="F16" s="74" t="s">
        <v>910</v>
      </c>
      <c r="G16" s="75" t="s">
        <v>122</v>
      </c>
      <c r="H16" s="76">
        <v>0.05</v>
      </c>
      <c r="I16" s="9">
        <v>23</v>
      </c>
      <c r="J16" s="9">
        <v>76</v>
      </c>
      <c r="K16" s="10" t="s">
        <v>1005</v>
      </c>
      <c r="L16" s="65">
        <f>AVERAGE(80,90,80,74)</f>
        <v>81</v>
      </c>
      <c r="M16" s="25" t="s">
        <v>1153</v>
      </c>
      <c r="N16" s="65">
        <f>AVERAGE(99)</f>
        <v>99</v>
      </c>
      <c r="O16" s="25" t="s">
        <v>1153</v>
      </c>
      <c r="P16" s="65" t="s">
        <v>14</v>
      </c>
      <c r="Q16" s="25" t="s">
        <v>14</v>
      </c>
      <c r="R16" s="50" t="s">
        <v>14</v>
      </c>
      <c r="S16" s="65">
        <v>350</v>
      </c>
      <c r="T16" s="25" t="s">
        <v>918</v>
      </c>
      <c r="U16" s="50" t="s">
        <v>30</v>
      </c>
    </row>
    <row r="17" spans="1:21" ht="6" customHeight="1">
      <c r="A17" s="139" t="s">
        <v>14</v>
      </c>
      <c r="B17" s="130" t="s">
        <v>14</v>
      </c>
      <c r="C17" s="131" t="s">
        <v>14</v>
      </c>
      <c r="D17" s="131" t="s">
        <v>14</v>
      </c>
      <c r="E17" s="131" t="s">
        <v>14</v>
      </c>
      <c r="F17" s="131" t="s">
        <v>14</v>
      </c>
      <c r="G17" s="138" t="s">
        <v>14</v>
      </c>
      <c r="H17" s="134" t="s">
        <v>14</v>
      </c>
      <c r="I17" s="43" t="s">
        <v>14</v>
      </c>
      <c r="J17" s="43" t="s">
        <v>14</v>
      </c>
      <c r="K17" s="131" t="s">
        <v>14</v>
      </c>
      <c r="L17" s="43" t="s">
        <v>14</v>
      </c>
      <c r="M17" s="135" t="s">
        <v>14</v>
      </c>
      <c r="N17" s="43" t="s">
        <v>14</v>
      </c>
      <c r="O17" s="135" t="s">
        <v>14</v>
      </c>
      <c r="P17" s="43" t="s">
        <v>14</v>
      </c>
      <c r="Q17" s="135" t="s">
        <v>14</v>
      </c>
      <c r="R17" s="43" t="s">
        <v>14</v>
      </c>
      <c r="S17" s="43" t="s">
        <v>14</v>
      </c>
      <c r="T17" s="135" t="s">
        <v>14</v>
      </c>
      <c r="U17" s="43" t="s">
        <v>14</v>
      </c>
    </row>
    <row r="18" spans="1:21" s="14" customFormat="1" ht="12.6" customHeight="1">
      <c r="A18" s="80" t="s">
        <v>447</v>
      </c>
      <c r="B18" s="73" t="s">
        <v>992</v>
      </c>
      <c r="C18" s="103">
        <v>10</v>
      </c>
      <c r="D18" s="82">
        <v>2.8</v>
      </c>
      <c r="E18" s="81">
        <v>16</v>
      </c>
      <c r="F18" s="83" t="s">
        <v>910</v>
      </c>
      <c r="G18" s="84">
        <v>0.24</v>
      </c>
      <c r="H18" s="85">
        <v>0.62</v>
      </c>
      <c r="I18" s="81">
        <v>73</v>
      </c>
      <c r="J18" s="81">
        <v>86</v>
      </c>
      <c r="K18" s="86" t="s">
        <v>1005</v>
      </c>
      <c r="L18" s="81">
        <f>AVERAGE(203,115,213)</f>
        <v>177</v>
      </c>
      <c r="M18" s="86" t="s">
        <v>1118</v>
      </c>
      <c r="N18" s="81">
        <f>AVERAGE(250,299)</f>
        <v>274.5</v>
      </c>
      <c r="O18" s="81" t="s">
        <v>1118</v>
      </c>
      <c r="P18" s="87" t="s">
        <v>14</v>
      </c>
      <c r="Q18" s="81" t="s">
        <v>14</v>
      </c>
      <c r="R18" s="86" t="s">
        <v>14</v>
      </c>
      <c r="S18" s="87">
        <v>310</v>
      </c>
      <c r="T18" s="81" t="s">
        <v>1153</v>
      </c>
      <c r="U18" s="86" t="s">
        <v>31</v>
      </c>
    </row>
    <row r="19" spans="1:21" s="14" customFormat="1" ht="12.6" customHeight="1">
      <c r="A19" s="73" t="s">
        <v>447</v>
      </c>
      <c r="B19" s="26" t="s">
        <v>993</v>
      </c>
      <c r="C19" s="10" t="s">
        <v>994</v>
      </c>
      <c r="D19" s="10">
        <v>2</v>
      </c>
      <c r="E19" s="10">
        <f>1.6*C19</f>
        <v>19.200000000000003</v>
      </c>
      <c r="F19" s="74" t="s">
        <v>910</v>
      </c>
      <c r="G19" s="75">
        <v>0.2</v>
      </c>
      <c r="H19" s="76">
        <v>0.245</v>
      </c>
      <c r="I19" s="9">
        <v>59</v>
      </c>
      <c r="J19" s="9">
        <v>72.5</v>
      </c>
      <c r="K19" s="10">
        <v>67</v>
      </c>
      <c r="L19" s="65">
        <f>AVERAGE(150,150,107,162)</f>
        <v>142.25</v>
      </c>
      <c r="M19" s="25" t="s">
        <v>1118</v>
      </c>
      <c r="N19" s="65">
        <f>AVERAGE(235,279)</f>
        <v>257</v>
      </c>
      <c r="O19" s="25" t="s">
        <v>1153</v>
      </c>
      <c r="P19" s="65" t="s">
        <v>14</v>
      </c>
      <c r="Q19" s="25" t="s">
        <v>14</v>
      </c>
      <c r="R19" s="50" t="s">
        <v>14</v>
      </c>
      <c r="S19" s="65">
        <v>280</v>
      </c>
      <c r="T19" s="25" t="s">
        <v>1153</v>
      </c>
      <c r="U19" s="50" t="s">
        <v>31</v>
      </c>
    </row>
    <row r="20" spans="1:21" s="14" customFormat="1" ht="12.6" customHeight="1">
      <c r="A20" s="80" t="s">
        <v>447</v>
      </c>
      <c r="B20" s="73" t="s">
        <v>995</v>
      </c>
      <c r="C20" s="103">
        <v>16</v>
      </c>
      <c r="D20" s="81">
        <v>2</v>
      </c>
      <c r="E20" s="81">
        <f>1.6*C20</f>
        <v>25.6</v>
      </c>
      <c r="F20" s="83" t="s">
        <v>910</v>
      </c>
      <c r="G20" s="84">
        <v>0.2</v>
      </c>
      <c r="H20" s="85">
        <v>0.61299999999999999</v>
      </c>
      <c r="I20" s="81">
        <v>115.3</v>
      </c>
      <c r="J20" s="81">
        <v>86</v>
      </c>
      <c r="K20" s="86">
        <v>77</v>
      </c>
      <c r="L20" s="81">
        <f>AVERAGE(135)</f>
        <v>135</v>
      </c>
      <c r="M20" s="86" t="s">
        <v>1110</v>
      </c>
      <c r="N20" s="81">
        <f>AVERAGE(235,190,216,250)</f>
        <v>222.75</v>
      </c>
      <c r="O20" s="81" t="s">
        <v>1118</v>
      </c>
      <c r="P20" s="87" t="s">
        <v>14</v>
      </c>
      <c r="Q20" s="81" t="s">
        <v>14</v>
      </c>
      <c r="R20" s="86" t="s">
        <v>14</v>
      </c>
      <c r="S20" s="116">
        <v>360</v>
      </c>
      <c r="T20" s="81" t="s">
        <v>918</v>
      </c>
      <c r="U20" s="86" t="s">
        <v>30</v>
      </c>
    </row>
    <row r="21" spans="1:21" s="14" customFormat="1" ht="12.6" customHeight="1">
      <c r="A21" s="80" t="s">
        <v>447</v>
      </c>
      <c r="B21" s="73" t="s">
        <v>996</v>
      </c>
      <c r="C21" s="103">
        <v>21</v>
      </c>
      <c r="D21" s="82">
        <v>1.4</v>
      </c>
      <c r="E21" s="81">
        <v>35</v>
      </c>
      <c r="F21" s="83" t="s">
        <v>910</v>
      </c>
      <c r="G21" s="84">
        <v>0.3</v>
      </c>
      <c r="H21" s="85">
        <v>0.27500000000000002</v>
      </c>
      <c r="I21" s="81">
        <v>67.5</v>
      </c>
      <c r="J21" s="81">
        <v>64.3</v>
      </c>
      <c r="K21" s="86">
        <v>58</v>
      </c>
      <c r="L21" s="81">
        <f t="shared" ref="L21:L23" si="0">AVERAGE(0)</f>
        <v>0</v>
      </c>
      <c r="M21" s="86" t="s">
        <v>14</v>
      </c>
      <c r="N21" s="81">
        <f t="shared" ref="N21:N23" si="1">AVERAGE(0)</f>
        <v>0</v>
      </c>
      <c r="O21" s="81" t="s">
        <v>14</v>
      </c>
      <c r="P21" s="99" t="s">
        <v>1155</v>
      </c>
      <c r="Q21" s="81" t="s">
        <v>1153</v>
      </c>
      <c r="R21" s="100" t="s">
        <v>31</v>
      </c>
      <c r="S21" s="101">
        <v>400</v>
      </c>
      <c r="T21" s="81" t="s">
        <v>918</v>
      </c>
      <c r="U21" s="86" t="s">
        <v>30</v>
      </c>
    </row>
    <row r="22" spans="1:21" s="14" customFormat="1" ht="12.6" customHeight="1">
      <c r="A22" s="73" t="s">
        <v>447</v>
      </c>
      <c r="B22" s="46" t="s">
        <v>997</v>
      </c>
      <c r="C22" s="9">
        <v>35</v>
      </c>
      <c r="D22" s="10">
        <v>1.2</v>
      </c>
      <c r="E22" s="50">
        <v>56</v>
      </c>
      <c r="F22" s="9" t="s">
        <v>910</v>
      </c>
      <c r="G22" s="75" t="s">
        <v>14</v>
      </c>
      <c r="H22" s="76" t="s">
        <v>14</v>
      </c>
      <c r="I22" s="9" t="s">
        <v>14</v>
      </c>
      <c r="J22" s="9" t="s">
        <v>14</v>
      </c>
      <c r="K22" s="10" t="s">
        <v>14</v>
      </c>
      <c r="L22" s="65">
        <f t="shared" si="0"/>
        <v>0</v>
      </c>
      <c r="M22" s="25" t="s">
        <v>14</v>
      </c>
      <c r="N22" s="65">
        <f t="shared" si="1"/>
        <v>0</v>
      </c>
      <c r="O22" s="25" t="s">
        <v>14</v>
      </c>
      <c r="P22" s="65" t="s">
        <v>14</v>
      </c>
      <c r="Q22" s="25" t="s">
        <v>14</v>
      </c>
      <c r="R22" s="50" t="s">
        <v>14</v>
      </c>
      <c r="S22" s="65">
        <v>380</v>
      </c>
      <c r="T22" s="81" t="s">
        <v>1153</v>
      </c>
      <c r="U22" s="86" t="s">
        <v>31</v>
      </c>
    </row>
    <row r="23" spans="1:21" ht="12.6" customHeight="1">
      <c r="A23" s="67" t="s">
        <v>447</v>
      </c>
      <c r="B23" s="58" t="s">
        <v>998</v>
      </c>
      <c r="C23" s="36">
        <v>50</v>
      </c>
      <c r="D23" s="71">
        <v>1.2</v>
      </c>
      <c r="E23" s="52">
        <f>1.6*C23</f>
        <v>80</v>
      </c>
      <c r="F23" s="36" t="s">
        <v>910</v>
      </c>
      <c r="G23" s="59">
        <v>0.5</v>
      </c>
      <c r="H23" s="40">
        <v>0.38500000000000001</v>
      </c>
      <c r="I23" s="36">
        <v>74.099999999999994</v>
      </c>
      <c r="J23" s="36">
        <v>67.5</v>
      </c>
      <c r="K23" s="71">
        <v>62</v>
      </c>
      <c r="L23" s="61">
        <f t="shared" si="0"/>
        <v>0</v>
      </c>
      <c r="M23" s="68" t="s">
        <v>14</v>
      </c>
      <c r="N23" s="61">
        <f t="shared" si="1"/>
        <v>0</v>
      </c>
      <c r="O23" s="168" t="s">
        <v>14</v>
      </c>
      <c r="P23" s="61" t="s">
        <v>14</v>
      </c>
      <c r="Q23" s="68" t="s">
        <v>14</v>
      </c>
      <c r="R23" s="52" t="s">
        <v>14</v>
      </c>
      <c r="S23" s="61">
        <v>350</v>
      </c>
      <c r="T23" s="68" t="s">
        <v>1153</v>
      </c>
      <c r="U23" s="52" t="s">
        <v>31</v>
      </c>
    </row>
    <row r="24" spans="1:21" ht="12.6" customHeight="1">
      <c r="A24" s="140" t="s">
        <v>14</v>
      </c>
      <c r="B24" s="25" t="s">
        <v>14</v>
      </c>
      <c r="C24" s="25" t="s">
        <v>14</v>
      </c>
      <c r="D24" s="25" t="s">
        <v>14</v>
      </c>
      <c r="E24" s="25" t="s">
        <v>14</v>
      </c>
      <c r="F24" s="47" t="s">
        <v>14</v>
      </c>
      <c r="G24" s="76" t="s">
        <v>14</v>
      </c>
      <c r="H24" s="9" t="s">
        <v>14</v>
      </c>
      <c r="I24" s="9" t="s">
        <v>14</v>
      </c>
      <c r="J24" s="9" t="s">
        <v>14</v>
      </c>
      <c r="K24" s="9" t="s">
        <v>14</v>
      </c>
      <c r="L24" s="10" t="s">
        <v>14</v>
      </c>
      <c r="M24" s="9" t="s">
        <v>14</v>
      </c>
      <c r="N24" s="10" t="s">
        <v>14</v>
      </c>
      <c r="O24" s="9" t="s">
        <v>14</v>
      </c>
      <c r="P24" s="10" t="s">
        <v>14</v>
      </c>
      <c r="Q24" s="26" t="s">
        <v>14</v>
      </c>
      <c r="R24" s="9" t="s">
        <v>14</v>
      </c>
      <c r="S24" s="10" t="s">
        <v>14</v>
      </c>
      <c r="T24" s="26" t="s">
        <v>14</v>
      </c>
      <c r="U24" s="26" t="s">
        <v>14</v>
      </c>
    </row>
  </sheetData>
  <sheetProtection password="990B" sheet="1" objects="1" scenarios="1"/>
  <pageMargins left="0.3" right="0" top="0.5" bottom="0" header="0.59055118110236204" footer="0.511811023622047"/>
  <pageSetup orientation="landscape" r:id="rId1"/>
  <headerFooter alignWithMargins="0">
    <oddHeader>&amp;R&amp;9(&amp;P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U115"/>
  <sheetViews>
    <sheetView zoomScaleNormal="100" workbookViewId="0"/>
  </sheetViews>
  <sheetFormatPr defaultColWidth="9.140625" defaultRowHeight="12.6" customHeight="1"/>
  <cols>
    <col min="1" max="1" width="6.28515625" style="63" customWidth="1"/>
    <col min="2" max="2" width="21.5703125" style="63" customWidth="1"/>
    <col min="3" max="3" width="7.140625" style="21" customWidth="1"/>
    <col min="4" max="4" width="7.140625" style="34" customWidth="1"/>
    <col min="5" max="5" width="7.140625" style="21" customWidth="1"/>
    <col min="6" max="6" width="4.7109375" style="21" customWidth="1"/>
    <col min="7" max="7" width="4.7109375" style="34" customWidth="1"/>
    <col min="8" max="8" width="4.7109375" style="35" customWidth="1"/>
    <col min="9" max="11" width="4.7109375" style="20" customWidth="1"/>
    <col min="12" max="17" width="5.28515625" style="20" customWidth="1"/>
    <col min="18" max="18" width="6.7109375" style="20" customWidth="1"/>
    <col min="19" max="20" width="5.28515625" style="20" customWidth="1"/>
    <col min="21" max="21" width="6.7109375" style="20" customWidth="1"/>
    <col min="22" max="16384" width="9.140625" style="14"/>
  </cols>
  <sheetData>
    <row r="1" spans="1:21" s="26" customFormat="1" ht="12.6" customHeight="1">
      <c r="A1" s="73" t="str">
        <f>i!A1</f>
        <v>Lens$db: Lens Price database</v>
      </c>
      <c r="B1" s="46"/>
      <c r="C1" s="9"/>
      <c r="D1" s="10"/>
      <c r="E1" s="9"/>
      <c r="F1" s="9"/>
      <c r="G1" s="47"/>
      <c r="H1" s="76" t="s">
        <v>14</v>
      </c>
      <c r="I1" s="9" t="s">
        <v>14</v>
      </c>
      <c r="J1" s="9" t="s">
        <v>14</v>
      </c>
      <c r="K1" s="10" t="s">
        <v>14</v>
      </c>
      <c r="L1" s="9" t="s">
        <v>14</v>
      </c>
      <c r="M1" s="25" t="s">
        <v>14</v>
      </c>
      <c r="N1" s="9" t="s">
        <v>14</v>
      </c>
      <c r="O1" s="25" t="s">
        <v>14</v>
      </c>
      <c r="P1" s="9" t="s">
        <v>14</v>
      </c>
      <c r="Q1" s="25" t="s">
        <v>14</v>
      </c>
      <c r="R1" s="22" t="str">
        <f>i!B3</f>
        <v>.2018-09-01</v>
      </c>
      <c r="S1" s="9"/>
      <c r="T1" s="25" t="s">
        <v>14</v>
      </c>
      <c r="U1" s="9" t="s">
        <v>14</v>
      </c>
    </row>
    <row r="2" spans="1:21" ht="12.6" customHeight="1">
      <c r="A2" s="26" t="str">
        <f>i!A3</f>
        <v>v.34</v>
      </c>
      <c r="F2" s="25"/>
      <c r="G2" s="47"/>
      <c r="H2" s="76"/>
      <c r="I2" s="9"/>
      <c r="J2" s="46"/>
      <c r="K2" s="9"/>
      <c r="L2" s="9"/>
      <c r="M2" s="10"/>
      <c r="N2" s="36"/>
      <c r="O2" s="10"/>
      <c r="P2" s="36"/>
      <c r="Q2" s="10"/>
      <c r="R2" s="36"/>
      <c r="S2" s="36"/>
      <c r="T2" s="10"/>
      <c r="U2" s="36"/>
    </row>
    <row r="3" spans="1:21" s="24" customFormat="1" ht="12.6" customHeight="1">
      <c r="C3" s="119"/>
      <c r="D3" s="38"/>
      <c r="E3" s="119"/>
      <c r="F3" s="143"/>
      <c r="G3" s="39"/>
      <c r="H3" s="39"/>
      <c r="I3" s="36"/>
      <c r="J3" s="36"/>
      <c r="K3" s="39"/>
      <c r="L3" s="42"/>
      <c r="M3" s="43" t="s">
        <v>14</v>
      </c>
      <c r="N3" s="43" t="s">
        <v>15</v>
      </c>
      <c r="O3" s="43" t="s">
        <v>14</v>
      </c>
      <c r="P3" s="145"/>
      <c r="Q3" s="125"/>
      <c r="R3" s="50" t="s">
        <v>16</v>
      </c>
      <c r="S3" s="36"/>
      <c r="T3" s="43" t="s">
        <v>14</v>
      </c>
      <c r="U3" s="52"/>
    </row>
    <row r="4" spans="1:21" s="26" customFormat="1" ht="12.6" customHeight="1">
      <c r="A4" s="24" t="s">
        <v>14</v>
      </c>
      <c r="B4" s="24" t="s">
        <v>14</v>
      </c>
      <c r="C4" s="25" t="s">
        <v>4</v>
      </c>
      <c r="D4" s="47" t="s">
        <v>9</v>
      </c>
      <c r="E4" s="25" t="s">
        <v>636</v>
      </c>
      <c r="F4" s="123" t="s">
        <v>11</v>
      </c>
      <c r="G4" s="48" t="s">
        <v>264</v>
      </c>
      <c r="H4" s="76" t="s">
        <v>5</v>
      </c>
      <c r="I4" s="9" t="s">
        <v>298</v>
      </c>
      <c r="J4" s="9" t="s">
        <v>299</v>
      </c>
      <c r="K4" s="50" t="s">
        <v>300</v>
      </c>
      <c r="L4" s="51" t="s">
        <v>450</v>
      </c>
      <c r="M4" s="52"/>
      <c r="N4" s="53" t="s">
        <v>17</v>
      </c>
      <c r="O4" s="36"/>
      <c r="P4" s="147"/>
      <c r="Q4" s="43" t="s">
        <v>451</v>
      </c>
      <c r="R4" s="62"/>
      <c r="S4" s="121"/>
      <c r="T4" s="50" t="s">
        <v>7</v>
      </c>
      <c r="U4" s="50"/>
    </row>
    <row r="5" spans="1:21" s="26" customFormat="1" ht="12.6" customHeight="1">
      <c r="A5" s="57" t="s">
        <v>14</v>
      </c>
      <c r="B5" s="57" t="s">
        <v>14</v>
      </c>
      <c r="C5" s="68" t="s">
        <v>18</v>
      </c>
      <c r="D5" s="41" t="s">
        <v>14</v>
      </c>
      <c r="E5" s="68"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6" customFormat="1" ht="12.6" customHeight="1">
      <c r="A6" s="137" t="s">
        <v>940</v>
      </c>
      <c r="B6" s="130"/>
      <c r="C6" s="43" t="s">
        <v>14</v>
      </c>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ht="12.6" customHeight="1">
      <c r="A7" s="80" t="s">
        <v>84</v>
      </c>
      <c r="B7" s="73" t="s">
        <v>932</v>
      </c>
      <c r="C7" s="81">
        <v>14</v>
      </c>
      <c r="D7" s="82">
        <v>1.8</v>
      </c>
      <c r="E7" s="81">
        <f t="shared" ref="E7:E38" si="0">1.6*C7</f>
        <v>22.400000000000002</v>
      </c>
      <c r="F7" s="83" t="s">
        <v>36</v>
      </c>
      <c r="G7" s="84">
        <v>0.27</v>
      </c>
      <c r="H7" s="85">
        <v>1.17</v>
      </c>
      <c r="I7" s="81">
        <v>126</v>
      </c>
      <c r="J7" s="81">
        <v>95.4</v>
      </c>
      <c r="K7" s="86" t="s">
        <v>29</v>
      </c>
      <c r="L7" s="81">
        <f>AVERAGE(879)</f>
        <v>879</v>
      </c>
      <c r="M7" s="86" t="s">
        <v>1171</v>
      </c>
      <c r="N7" s="81">
        <f>AVERAGE(1229)</f>
        <v>1229</v>
      </c>
      <c r="O7" s="81" t="s">
        <v>1171</v>
      </c>
      <c r="P7" s="87" t="s">
        <v>14</v>
      </c>
      <c r="Q7" s="81" t="s">
        <v>14</v>
      </c>
      <c r="R7" s="86" t="s">
        <v>14</v>
      </c>
      <c r="S7" s="116">
        <v>1600</v>
      </c>
      <c r="T7" s="81" t="s">
        <v>1110</v>
      </c>
      <c r="U7" s="86" t="s">
        <v>30</v>
      </c>
    </row>
    <row r="8" spans="1:21" ht="12.6" customHeight="1">
      <c r="A8" s="80" t="s">
        <v>84</v>
      </c>
      <c r="B8" s="73" t="s">
        <v>933</v>
      </c>
      <c r="C8" s="81">
        <v>20</v>
      </c>
      <c r="D8" s="82">
        <v>1.4</v>
      </c>
      <c r="E8" s="81">
        <f t="shared" ref="E8:E15" si="1">1.6*C8</f>
        <v>32</v>
      </c>
      <c r="F8" s="83" t="s">
        <v>36</v>
      </c>
      <c r="G8" s="84">
        <v>0.27600000000000002</v>
      </c>
      <c r="H8" s="85">
        <v>0.95</v>
      </c>
      <c r="I8" s="81">
        <v>129.80000000000001</v>
      </c>
      <c r="J8" s="81">
        <v>90.7</v>
      </c>
      <c r="K8" s="86" t="s">
        <v>29</v>
      </c>
      <c r="L8" s="81">
        <f>AVERAGE(667,650,674,625,650,745)</f>
        <v>668.5</v>
      </c>
      <c r="M8" s="86" t="s">
        <v>1091</v>
      </c>
      <c r="N8" s="104">
        <f>AVERAGE(785,792)</f>
        <v>788.5</v>
      </c>
      <c r="O8" s="86" t="s">
        <v>892</v>
      </c>
      <c r="P8" s="87" t="s">
        <v>14</v>
      </c>
      <c r="Q8" s="81" t="s">
        <v>14</v>
      </c>
      <c r="R8" s="86" t="s">
        <v>14</v>
      </c>
      <c r="S8" s="116">
        <v>900</v>
      </c>
      <c r="T8" s="81" t="s">
        <v>1110</v>
      </c>
      <c r="U8" s="86" t="s">
        <v>30</v>
      </c>
    </row>
    <row r="9" spans="1:21" ht="12.6" customHeight="1">
      <c r="A9" s="80" t="s">
        <v>84</v>
      </c>
      <c r="B9" s="73" t="s">
        <v>934</v>
      </c>
      <c r="C9" s="81">
        <v>24</v>
      </c>
      <c r="D9" s="82">
        <v>1.4</v>
      </c>
      <c r="E9" s="81">
        <f t="shared" si="1"/>
        <v>38.400000000000006</v>
      </c>
      <c r="F9" s="83" t="s">
        <v>36</v>
      </c>
      <c r="G9" s="84">
        <v>0.25</v>
      </c>
      <c r="H9" s="85">
        <v>0.66500000000000004</v>
      </c>
      <c r="I9" s="81">
        <v>90.2</v>
      </c>
      <c r="J9" s="81">
        <v>85</v>
      </c>
      <c r="K9" s="86">
        <v>77</v>
      </c>
      <c r="L9" s="81">
        <f>AVERAGE(490,536,590,598,495,540,608,600)</f>
        <v>557.125</v>
      </c>
      <c r="M9" s="86" t="s">
        <v>1171</v>
      </c>
      <c r="N9" s="81">
        <f>AVERAGE(664,625,645,611,636)</f>
        <v>636.20000000000005</v>
      </c>
      <c r="O9" s="81" t="s">
        <v>1171</v>
      </c>
      <c r="P9" s="87">
        <f>AVERAGE(0)</f>
        <v>0</v>
      </c>
      <c r="Q9" s="81" t="s">
        <v>14</v>
      </c>
      <c r="R9" s="86" t="s">
        <v>14</v>
      </c>
      <c r="S9" s="116">
        <v>850</v>
      </c>
      <c r="T9" s="81" t="s">
        <v>1110</v>
      </c>
      <c r="U9" s="86" t="s">
        <v>30</v>
      </c>
    </row>
    <row r="10" spans="1:21" ht="12.6" customHeight="1">
      <c r="A10" s="80" t="s">
        <v>510</v>
      </c>
      <c r="B10" s="73" t="s">
        <v>935</v>
      </c>
      <c r="C10" s="81">
        <v>35</v>
      </c>
      <c r="D10" s="82">
        <v>1.4</v>
      </c>
      <c r="E10" s="81">
        <f t="shared" si="1"/>
        <v>56</v>
      </c>
      <c r="F10" s="83" t="s">
        <v>36</v>
      </c>
      <c r="G10" s="84">
        <v>0.3</v>
      </c>
      <c r="H10" s="85">
        <v>0.66500000000000004</v>
      </c>
      <c r="I10" s="81">
        <v>94</v>
      </c>
      <c r="J10" s="81">
        <v>77</v>
      </c>
      <c r="K10" s="86">
        <v>67</v>
      </c>
      <c r="L10" s="81">
        <f>AVERAGE(545,630,560,610,570,598,620,565,590,660,630,649,653)</f>
        <v>606.15384615384619</v>
      </c>
      <c r="M10" s="86" t="s">
        <v>1171</v>
      </c>
      <c r="N10" s="81">
        <f>AVERAGE(670,720,676,695,729,670,665,720,744,680,685)</f>
        <v>695.81818181818187</v>
      </c>
      <c r="O10" s="81" t="s">
        <v>1171</v>
      </c>
      <c r="P10" s="87">
        <f>750*CA.US</f>
        <v>570</v>
      </c>
      <c r="Q10" s="81" t="s">
        <v>708</v>
      </c>
      <c r="R10" s="86" t="s">
        <v>327</v>
      </c>
      <c r="S10" s="116">
        <v>900</v>
      </c>
      <c r="T10" s="81" t="s">
        <v>1110</v>
      </c>
      <c r="U10" s="86" t="s">
        <v>30</v>
      </c>
    </row>
    <row r="11" spans="1:21" ht="12.6" customHeight="1">
      <c r="A11" s="80" t="s">
        <v>84</v>
      </c>
      <c r="B11" s="73" t="s">
        <v>931</v>
      </c>
      <c r="C11" s="81">
        <v>50</v>
      </c>
      <c r="D11" s="82">
        <v>1.4</v>
      </c>
      <c r="E11" s="81">
        <f t="shared" si="1"/>
        <v>80</v>
      </c>
      <c r="F11" s="83" t="s">
        <v>36</v>
      </c>
      <c r="G11" s="84">
        <v>0.4</v>
      </c>
      <c r="H11" s="85">
        <v>0.81499999999999995</v>
      </c>
      <c r="I11" s="81">
        <v>99.9</v>
      </c>
      <c r="J11" s="81">
        <v>85.4</v>
      </c>
      <c r="K11" s="86">
        <v>77</v>
      </c>
      <c r="L11" s="81">
        <f>AVERAGE(603,603,571,645,618,650,543,690,571,650)</f>
        <v>614.4</v>
      </c>
      <c r="M11" s="86" t="s">
        <v>1171</v>
      </c>
      <c r="N11" s="81">
        <f>AVERAGE(660,700,688,709,675,665,740,711,712,679)</f>
        <v>693.9</v>
      </c>
      <c r="O11" s="86" t="s">
        <v>1153</v>
      </c>
      <c r="P11" s="87">
        <f>829*CA.US</f>
        <v>630.04</v>
      </c>
      <c r="Q11" s="81" t="s">
        <v>881</v>
      </c>
      <c r="R11" s="86" t="s">
        <v>537</v>
      </c>
      <c r="S11" s="116">
        <v>950</v>
      </c>
      <c r="T11" s="81" t="s">
        <v>1110</v>
      </c>
      <c r="U11" s="86" t="s">
        <v>30</v>
      </c>
    </row>
    <row r="12" spans="1:21" ht="12.6" customHeight="1">
      <c r="A12" s="80" t="s">
        <v>84</v>
      </c>
      <c r="B12" s="73" t="s">
        <v>1103</v>
      </c>
      <c r="C12" s="81">
        <v>70</v>
      </c>
      <c r="D12" s="82">
        <v>2.8</v>
      </c>
      <c r="E12" s="81">
        <f t="shared" si="1"/>
        <v>112</v>
      </c>
      <c r="F12" s="83" t="s">
        <v>36</v>
      </c>
      <c r="G12" s="84">
        <v>0.25800000000000001</v>
      </c>
      <c r="H12" s="85">
        <v>0.51500000000000001</v>
      </c>
      <c r="I12" s="81">
        <v>105.8</v>
      </c>
      <c r="J12" s="81">
        <v>70.8</v>
      </c>
      <c r="K12" s="86">
        <v>49</v>
      </c>
      <c r="L12" s="81">
        <f>AVERAGE(0)</f>
        <v>0</v>
      </c>
      <c r="M12" s="86" t="s">
        <v>14</v>
      </c>
      <c r="N12" s="81">
        <f>AVERAGE(0)</f>
        <v>0</v>
      </c>
      <c r="O12" s="81" t="s">
        <v>14</v>
      </c>
      <c r="P12" s="87" t="s">
        <v>14</v>
      </c>
      <c r="Q12" s="81" t="s">
        <v>14</v>
      </c>
      <c r="R12" s="86" t="s">
        <v>14</v>
      </c>
      <c r="S12" s="116">
        <v>570</v>
      </c>
      <c r="T12" s="81" t="s">
        <v>1110</v>
      </c>
      <c r="U12" s="86" t="s">
        <v>30</v>
      </c>
    </row>
    <row r="13" spans="1:21" ht="12.6" customHeight="1">
      <c r="A13" s="80" t="s">
        <v>84</v>
      </c>
      <c r="B13" s="73" t="s">
        <v>936</v>
      </c>
      <c r="C13" s="81">
        <v>85</v>
      </c>
      <c r="D13" s="82">
        <v>1.4</v>
      </c>
      <c r="E13" s="81">
        <f t="shared" si="1"/>
        <v>136</v>
      </c>
      <c r="F13" s="83" t="s">
        <v>36</v>
      </c>
      <c r="G13" s="84">
        <v>0.85</v>
      </c>
      <c r="H13" s="85">
        <v>1.1299999999999999</v>
      </c>
      <c r="I13" s="81">
        <v>126.2</v>
      </c>
      <c r="J13" s="81">
        <v>94.7</v>
      </c>
      <c r="K13" s="86">
        <v>86</v>
      </c>
      <c r="L13" s="81">
        <f>AVERAGE(810,860,890,822)</f>
        <v>845.5</v>
      </c>
      <c r="M13" s="86" t="s">
        <v>1171</v>
      </c>
      <c r="N13" s="104">
        <f>AVERAGE(929,1075,1085,1050)</f>
        <v>1034.75</v>
      </c>
      <c r="O13" s="86" t="s">
        <v>1118</v>
      </c>
      <c r="P13" s="87">
        <f>1095*CA.US</f>
        <v>832.2</v>
      </c>
      <c r="Q13" s="81" t="s">
        <v>1153</v>
      </c>
      <c r="R13" s="86" t="s">
        <v>873</v>
      </c>
      <c r="S13" s="116">
        <v>1200</v>
      </c>
      <c r="T13" s="81" t="s">
        <v>1153</v>
      </c>
      <c r="U13" s="86" t="s">
        <v>30</v>
      </c>
    </row>
    <row r="14" spans="1:21" ht="14.25" customHeight="1">
      <c r="A14" s="80" t="s">
        <v>84</v>
      </c>
      <c r="B14" s="73" t="s">
        <v>1101</v>
      </c>
      <c r="C14" s="81">
        <v>105</v>
      </c>
      <c r="D14" s="82">
        <v>1.4</v>
      </c>
      <c r="E14" s="81">
        <f t="shared" si="1"/>
        <v>168</v>
      </c>
      <c r="F14" s="83" t="s">
        <v>36</v>
      </c>
      <c r="G14" s="84">
        <v>1</v>
      </c>
      <c r="H14" s="85">
        <v>1.64</v>
      </c>
      <c r="I14" s="81">
        <v>131.5</v>
      </c>
      <c r="J14" s="81">
        <v>115.9</v>
      </c>
      <c r="K14" s="86">
        <v>105</v>
      </c>
      <c r="L14" s="81">
        <f>AVERAGE(0)</f>
        <v>0</v>
      </c>
      <c r="M14" s="86"/>
      <c r="N14" s="104">
        <f>AVERAGE(1840)</f>
        <v>1840</v>
      </c>
      <c r="O14" s="81" t="s">
        <v>1153</v>
      </c>
      <c r="P14" s="87"/>
      <c r="Q14" s="81"/>
      <c r="R14" s="86"/>
      <c r="S14" s="116">
        <v>1600</v>
      </c>
      <c r="T14" s="81" t="s">
        <v>1110</v>
      </c>
      <c r="U14" s="86" t="s">
        <v>30</v>
      </c>
    </row>
    <row r="15" spans="1:21" ht="12.6" customHeight="1">
      <c r="A15" s="88" t="s">
        <v>84</v>
      </c>
      <c r="B15" s="67" t="s">
        <v>941</v>
      </c>
      <c r="C15" s="89">
        <v>135</v>
      </c>
      <c r="D15" s="102">
        <v>1.8</v>
      </c>
      <c r="E15" s="89">
        <f t="shared" si="1"/>
        <v>216</v>
      </c>
      <c r="F15" s="90" t="s">
        <v>36</v>
      </c>
      <c r="G15" s="91">
        <v>0.875</v>
      </c>
      <c r="H15" s="92">
        <v>1.1299999999999999</v>
      </c>
      <c r="I15" s="89">
        <v>114.9</v>
      </c>
      <c r="J15" s="89">
        <v>91.4</v>
      </c>
      <c r="K15" s="93">
        <v>82</v>
      </c>
      <c r="L15" s="94">
        <f>AVERAGE(0)</f>
        <v>0</v>
      </c>
      <c r="M15" s="93" t="s">
        <v>14</v>
      </c>
      <c r="N15" s="94">
        <f>AVERAGE(997,1004,1053)</f>
        <v>1018</v>
      </c>
      <c r="O15" s="89" t="s">
        <v>1171</v>
      </c>
      <c r="P15" s="94" t="s">
        <v>14</v>
      </c>
      <c r="Q15" s="89" t="s">
        <v>14</v>
      </c>
      <c r="R15" s="93" t="s">
        <v>14</v>
      </c>
      <c r="S15" s="211">
        <v>1400</v>
      </c>
      <c r="T15" s="89" t="s">
        <v>1110</v>
      </c>
      <c r="U15" s="93" t="s">
        <v>30</v>
      </c>
    </row>
    <row r="16" spans="1:21" ht="12.6" customHeight="1">
      <c r="A16" s="80" t="s">
        <v>84</v>
      </c>
      <c r="B16" s="73" t="s">
        <v>1102</v>
      </c>
      <c r="C16" s="81" t="s">
        <v>248</v>
      </c>
      <c r="D16" s="82">
        <v>2.8</v>
      </c>
      <c r="E16" s="81" t="s">
        <v>249</v>
      </c>
      <c r="F16" s="83" t="s">
        <v>36</v>
      </c>
      <c r="G16" s="84">
        <v>0.26</v>
      </c>
      <c r="H16" s="85">
        <v>1.1499999999999999</v>
      </c>
      <c r="I16" s="81">
        <v>135.1</v>
      </c>
      <c r="J16" s="81">
        <v>96.4</v>
      </c>
      <c r="K16" s="86" t="s">
        <v>29</v>
      </c>
      <c r="L16" s="81">
        <f t="shared" ref="L16" si="2">AVERAGE(0)</f>
        <v>0</v>
      </c>
      <c r="M16" s="86"/>
      <c r="N16" s="104">
        <f t="shared" ref="N16" si="3">AVERAGE(0)</f>
        <v>0</v>
      </c>
      <c r="O16" s="81"/>
      <c r="P16" s="87"/>
      <c r="Q16" s="81"/>
      <c r="R16" s="86"/>
      <c r="S16" s="116">
        <v>1300</v>
      </c>
      <c r="T16" s="81" t="s">
        <v>1110</v>
      </c>
      <c r="U16" s="86" t="s">
        <v>30</v>
      </c>
    </row>
    <row r="17" spans="1:21" ht="12.6" customHeight="1">
      <c r="A17" s="80" t="s">
        <v>84</v>
      </c>
      <c r="B17" s="73" t="s">
        <v>1104</v>
      </c>
      <c r="C17" s="103" t="s">
        <v>86</v>
      </c>
      <c r="D17" s="81">
        <v>4</v>
      </c>
      <c r="E17" s="81" t="s">
        <v>87</v>
      </c>
      <c r="F17" s="83" t="s">
        <v>36</v>
      </c>
      <c r="G17" s="84">
        <v>0.24</v>
      </c>
      <c r="H17" s="85">
        <v>1.1499999999999999</v>
      </c>
      <c r="I17" s="81">
        <v>131.5</v>
      </c>
      <c r="J17" s="81">
        <v>109</v>
      </c>
      <c r="K17" s="86" t="s">
        <v>29</v>
      </c>
      <c r="L17" s="81">
        <f>AVERAGE(0)</f>
        <v>0</v>
      </c>
      <c r="M17" s="86" t="s">
        <v>14</v>
      </c>
      <c r="N17" s="81">
        <f>AVERAGE(0)</f>
        <v>0</v>
      </c>
      <c r="O17" s="81" t="s">
        <v>14</v>
      </c>
      <c r="P17" s="87" t="s">
        <v>14</v>
      </c>
      <c r="Q17" s="81" t="s">
        <v>14</v>
      </c>
      <c r="R17" s="86" t="s">
        <v>14</v>
      </c>
      <c r="S17" s="116">
        <v>1600</v>
      </c>
      <c r="T17" s="81" t="s">
        <v>1110</v>
      </c>
      <c r="U17" s="86" t="s">
        <v>30</v>
      </c>
    </row>
    <row r="18" spans="1:21" ht="12.6" customHeight="1">
      <c r="A18" s="80" t="s">
        <v>84</v>
      </c>
      <c r="B18" s="73" t="s">
        <v>937</v>
      </c>
      <c r="C18" s="103" t="s">
        <v>703</v>
      </c>
      <c r="D18" s="81">
        <v>2</v>
      </c>
      <c r="E18" s="81" t="s">
        <v>704</v>
      </c>
      <c r="F18" s="83" t="s">
        <v>36</v>
      </c>
      <c r="G18" s="84">
        <v>0.27900000000000003</v>
      </c>
      <c r="H18" s="85">
        <v>0.94</v>
      </c>
      <c r="I18" s="81">
        <v>122.7</v>
      </c>
      <c r="J18" s="81">
        <v>87.6</v>
      </c>
      <c r="K18" s="86">
        <v>82</v>
      </c>
      <c r="L18" s="81">
        <f>AVERAGE(560,660,600)</f>
        <v>606.66666666666663</v>
      </c>
      <c r="M18" s="86" t="s">
        <v>1091</v>
      </c>
      <c r="N18" s="81">
        <f>AVERAGE(759,807,796,799,806)</f>
        <v>793.4</v>
      </c>
      <c r="O18" s="81" t="s">
        <v>1171</v>
      </c>
      <c r="P18" s="87">
        <f>925*CA.US</f>
        <v>703</v>
      </c>
      <c r="Q18" s="81" t="s">
        <v>925</v>
      </c>
      <c r="R18" s="86" t="s">
        <v>327</v>
      </c>
      <c r="S18" s="116">
        <v>1000</v>
      </c>
      <c r="T18" s="81" t="s">
        <v>1110</v>
      </c>
      <c r="U18" s="86" t="s">
        <v>30</v>
      </c>
    </row>
    <row r="19" spans="1:21" ht="12.6" customHeight="1">
      <c r="A19" s="80" t="s">
        <v>84</v>
      </c>
      <c r="B19" s="73" t="s">
        <v>942</v>
      </c>
      <c r="C19" s="103" t="s">
        <v>50</v>
      </c>
      <c r="D19" s="82">
        <v>2.8</v>
      </c>
      <c r="E19" s="81" t="s">
        <v>90</v>
      </c>
      <c r="F19" s="83" t="s">
        <v>36</v>
      </c>
      <c r="G19" s="84">
        <v>0.37</v>
      </c>
      <c r="H19" s="85">
        <v>1.02</v>
      </c>
      <c r="I19" s="81">
        <v>107.6</v>
      </c>
      <c r="J19" s="81">
        <v>88</v>
      </c>
      <c r="K19" s="86">
        <v>82</v>
      </c>
      <c r="L19" s="81">
        <f>AVERAGE(800)</f>
        <v>800</v>
      </c>
      <c r="M19" s="86" t="s">
        <v>1171</v>
      </c>
      <c r="N19" s="104">
        <f t="shared" ref="N19" si="4">AVERAGE(0)</f>
        <v>0</v>
      </c>
      <c r="O19" s="81" t="s">
        <v>14</v>
      </c>
      <c r="P19" s="87" t="s">
        <v>14</v>
      </c>
      <c r="Q19" s="81" t="s">
        <v>14</v>
      </c>
      <c r="R19" s="86" t="s">
        <v>14</v>
      </c>
      <c r="S19" s="116">
        <v>1300</v>
      </c>
      <c r="T19" s="81" t="s">
        <v>1110</v>
      </c>
      <c r="U19" s="86" t="s">
        <v>30</v>
      </c>
    </row>
    <row r="20" spans="1:21" ht="12.6" customHeight="1">
      <c r="A20" s="88" t="s">
        <v>84</v>
      </c>
      <c r="B20" s="67" t="s">
        <v>943</v>
      </c>
      <c r="C20" s="89" t="s">
        <v>52</v>
      </c>
      <c r="D20" s="102">
        <v>4</v>
      </c>
      <c r="E20" s="89" t="s">
        <v>611</v>
      </c>
      <c r="F20" s="90" t="s">
        <v>36</v>
      </c>
      <c r="G20" s="91">
        <v>0.45</v>
      </c>
      <c r="H20" s="92">
        <v>0.88500000000000001</v>
      </c>
      <c r="I20" s="89">
        <v>109.4</v>
      </c>
      <c r="J20" s="89">
        <v>88.6</v>
      </c>
      <c r="K20" s="93">
        <v>82</v>
      </c>
      <c r="L20" s="94">
        <f>AVERAGE(375,500)</f>
        <v>437.5</v>
      </c>
      <c r="M20" s="93" t="s">
        <v>1171</v>
      </c>
      <c r="N20" s="89">
        <f>AVERAGE(700,660,695,600,590,600)</f>
        <v>640.83333333333337</v>
      </c>
      <c r="O20" s="89" t="s">
        <v>1171</v>
      </c>
      <c r="P20" s="94">
        <f>800*CA.US</f>
        <v>608</v>
      </c>
      <c r="Q20" s="89" t="s">
        <v>708</v>
      </c>
      <c r="R20" s="93" t="s">
        <v>705</v>
      </c>
      <c r="S20" s="211">
        <v>900</v>
      </c>
      <c r="T20" s="89" t="s">
        <v>1110</v>
      </c>
      <c r="U20" s="93" t="s">
        <v>30</v>
      </c>
    </row>
    <row r="21" spans="1:21" s="26" customFormat="1" ht="15.75" customHeight="1">
      <c r="A21" s="137" t="s">
        <v>316</v>
      </c>
      <c r="B21" s="130"/>
      <c r="C21" s="43" t="s">
        <v>14</v>
      </c>
      <c r="D21" s="131" t="s">
        <v>14</v>
      </c>
      <c r="E21" s="43" t="s">
        <v>14</v>
      </c>
      <c r="F21" s="135" t="s">
        <v>14</v>
      </c>
      <c r="G21" s="138" t="s">
        <v>14</v>
      </c>
      <c r="H21" s="134" t="s">
        <v>14</v>
      </c>
      <c r="I21" s="43" t="s">
        <v>14</v>
      </c>
      <c r="J21" s="43" t="s">
        <v>14</v>
      </c>
      <c r="K21" s="43" t="s">
        <v>14</v>
      </c>
      <c r="L21" s="43" t="s">
        <v>14</v>
      </c>
      <c r="M21" s="43" t="s">
        <v>14</v>
      </c>
      <c r="N21" s="43" t="s">
        <v>14</v>
      </c>
      <c r="O21" s="43" t="s">
        <v>14</v>
      </c>
      <c r="P21" s="43" t="s">
        <v>14</v>
      </c>
      <c r="Q21" s="43" t="s">
        <v>14</v>
      </c>
      <c r="R21" s="43" t="s">
        <v>14</v>
      </c>
      <c r="S21" s="43" t="s">
        <v>14</v>
      </c>
      <c r="T21" s="43" t="s">
        <v>14</v>
      </c>
      <c r="U21" s="43" t="s">
        <v>14</v>
      </c>
    </row>
    <row r="22" spans="1:21" ht="12.6" customHeight="1">
      <c r="A22" s="80" t="s">
        <v>84</v>
      </c>
      <c r="B22" s="73" t="s">
        <v>555</v>
      </c>
      <c r="C22" s="81">
        <v>14</v>
      </c>
      <c r="D22" s="82">
        <v>2.8</v>
      </c>
      <c r="E22" s="81">
        <f t="shared" si="0"/>
        <v>22.400000000000002</v>
      </c>
      <c r="F22" s="83" t="s">
        <v>36</v>
      </c>
      <c r="G22" s="84">
        <v>0.18</v>
      </c>
      <c r="H22" s="85">
        <v>0.63</v>
      </c>
      <c r="I22" s="81">
        <v>91</v>
      </c>
      <c r="J22" s="81">
        <v>82</v>
      </c>
      <c r="K22" s="86" t="s">
        <v>37</v>
      </c>
      <c r="L22" s="81">
        <f>AVERAGE(229,315,350,358,315,350,461,454,400)</f>
        <v>359.11111111111109</v>
      </c>
      <c r="M22" s="86" t="s">
        <v>1091</v>
      </c>
      <c r="N22" s="81">
        <f>AVERAGE(499,500,500,520,500,515)</f>
        <v>505.66666666666669</v>
      </c>
      <c r="O22" s="81" t="s">
        <v>874</v>
      </c>
      <c r="P22" s="87">
        <v>468</v>
      </c>
      <c r="Q22" s="81" t="s">
        <v>918</v>
      </c>
      <c r="R22" s="86" t="s">
        <v>28</v>
      </c>
      <c r="S22" s="87" t="s">
        <v>14</v>
      </c>
      <c r="T22" s="81" t="s">
        <v>14</v>
      </c>
      <c r="U22" s="86" t="s">
        <v>14</v>
      </c>
    </row>
    <row r="23" spans="1:21" ht="12.6" customHeight="1">
      <c r="A23" s="80" t="s">
        <v>84</v>
      </c>
      <c r="B23" s="73" t="s">
        <v>398</v>
      </c>
      <c r="C23" s="81">
        <v>20</v>
      </c>
      <c r="D23" s="82">
        <v>1.8</v>
      </c>
      <c r="E23" s="81">
        <f t="shared" si="0"/>
        <v>32</v>
      </c>
      <c r="F23" s="83" t="s">
        <v>36</v>
      </c>
      <c r="G23" s="84">
        <v>0.2</v>
      </c>
      <c r="H23" s="85">
        <v>0.52</v>
      </c>
      <c r="I23" s="81">
        <v>87</v>
      </c>
      <c r="J23" s="81">
        <v>89</v>
      </c>
      <c r="K23" s="86">
        <v>82</v>
      </c>
      <c r="L23" s="81">
        <f>AVERAGE(289,250,203,209,218,161,223,297,259,245,250)</f>
        <v>236.72727272727272</v>
      </c>
      <c r="M23" s="86" t="s">
        <v>954</v>
      </c>
      <c r="N23" s="81">
        <f>AVERAGE(399,370,370,330,371,419,425,410)</f>
        <v>386.75</v>
      </c>
      <c r="O23" s="81" t="s">
        <v>918</v>
      </c>
      <c r="P23" s="87">
        <f>495*CA.US</f>
        <v>376.2</v>
      </c>
      <c r="Q23" s="81" t="s">
        <v>953</v>
      </c>
      <c r="R23" s="86" t="s">
        <v>873</v>
      </c>
      <c r="S23" s="87">
        <v>450</v>
      </c>
      <c r="T23" s="81" t="s">
        <v>639</v>
      </c>
      <c r="U23" s="86" t="s">
        <v>633</v>
      </c>
    </row>
    <row r="24" spans="1:21" ht="12.6" customHeight="1">
      <c r="A24" s="80" t="s">
        <v>84</v>
      </c>
      <c r="B24" s="73" t="s">
        <v>556</v>
      </c>
      <c r="C24" s="81">
        <v>24</v>
      </c>
      <c r="D24" s="82">
        <v>1.8</v>
      </c>
      <c r="E24" s="81">
        <f t="shared" si="0"/>
        <v>38.400000000000006</v>
      </c>
      <c r="F24" s="83" t="s">
        <v>36</v>
      </c>
      <c r="G24" s="84">
        <v>0.18</v>
      </c>
      <c r="H24" s="85">
        <v>0.48499999999999999</v>
      </c>
      <c r="I24" s="81">
        <v>80</v>
      </c>
      <c r="J24" s="81">
        <v>83</v>
      </c>
      <c r="K24" s="86">
        <v>77</v>
      </c>
      <c r="L24" s="81">
        <f>AVERAGE(298,288,297,299,290,260,280,302,330,307,281,298)</f>
        <v>294.16666666666669</v>
      </c>
      <c r="M24" s="86" t="s">
        <v>892</v>
      </c>
      <c r="N24" s="212">
        <f>AVERAGE(345,320,400,400,330,400,360,375)</f>
        <v>366.25</v>
      </c>
      <c r="O24" s="81" t="s">
        <v>670</v>
      </c>
      <c r="P24" s="87" t="s">
        <v>14</v>
      </c>
      <c r="Q24" s="81" t="s">
        <v>14</v>
      </c>
      <c r="R24" s="86" t="s">
        <v>14</v>
      </c>
      <c r="S24" s="87">
        <v>195</v>
      </c>
      <c r="T24" s="81" t="s">
        <v>925</v>
      </c>
      <c r="U24" s="86" t="s">
        <v>27</v>
      </c>
    </row>
    <row r="25" spans="1:21" ht="12.6" customHeight="1">
      <c r="A25" s="80" t="s">
        <v>84</v>
      </c>
      <c r="B25" s="73" t="s">
        <v>535</v>
      </c>
      <c r="C25" s="81">
        <v>28</v>
      </c>
      <c r="D25" s="82">
        <v>1.8</v>
      </c>
      <c r="E25" s="81">
        <f t="shared" si="0"/>
        <v>44.800000000000004</v>
      </c>
      <c r="F25" s="83" t="s">
        <v>36</v>
      </c>
      <c r="G25" s="84">
        <v>0.3</v>
      </c>
      <c r="H25" s="85">
        <v>0.28999999999999998</v>
      </c>
      <c r="I25" s="81">
        <v>62</v>
      </c>
      <c r="J25" s="81">
        <v>69</v>
      </c>
      <c r="K25" s="86">
        <v>58</v>
      </c>
      <c r="L25" s="81">
        <f>AVERAGE(160,200,147,200,190,225,103,180,191,165)</f>
        <v>176.1</v>
      </c>
      <c r="M25" s="86" t="s">
        <v>954</v>
      </c>
      <c r="N25" s="81">
        <f>AVERAGE(240)</f>
        <v>240</v>
      </c>
      <c r="O25" s="81" t="s">
        <v>892</v>
      </c>
      <c r="P25" s="87">
        <v>275</v>
      </c>
      <c r="Q25" s="81" t="s">
        <v>612</v>
      </c>
      <c r="R25" s="86" t="s">
        <v>28</v>
      </c>
      <c r="S25" s="87">
        <v>450</v>
      </c>
      <c r="T25" s="81" t="s">
        <v>619</v>
      </c>
      <c r="U25" s="86" t="s">
        <v>31</v>
      </c>
    </row>
    <row r="26" spans="1:21" ht="12.6" customHeight="1">
      <c r="A26" s="80" t="s">
        <v>84</v>
      </c>
      <c r="B26" s="73" t="s">
        <v>247</v>
      </c>
      <c r="C26" s="81">
        <v>50</v>
      </c>
      <c r="D26" s="82">
        <v>1.4</v>
      </c>
      <c r="E26" s="81">
        <f t="shared" si="0"/>
        <v>80</v>
      </c>
      <c r="F26" s="83" t="s">
        <v>36</v>
      </c>
      <c r="G26" s="84">
        <v>0.45</v>
      </c>
      <c r="H26" s="85">
        <v>0.505</v>
      </c>
      <c r="I26" s="81">
        <v>68</v>
      </c>
      <c r="J26" s="81">
        <v>85</v>
      </c>
      <c r="K26" s="86">
        <v>77</v>
      </c>
      <c r="L26" s="81">
        <f>AVERAGE(229,263,242,240,220,227,276,252,261,275)</f>
        <v>248.5</v>
      </c>
      <c r="M26" s="86" t="s">
        <v>892</v>
      </c>
      <c r="N26" s="81">
        <f>AVERAGE(300,340,330,316,340,315,295,304,425,338,330)</f>
        <v>330.27272727272725</v>
      </c>
      <c r="O26" s="86" t="s">
        <v>1061</v>
      </c>
      <c r="P26" s="87">
        <f>395*CA.US</f>
        <v>300.2</v>
      </c>
      <c r="Q26" s="81" t="s">
        <v>1153</v>
      </c>
      <c r="R26" s="86" t="s">
        <v>873</v>
      </c>
      <c r="S26" s="87">
        <v>350</v>
      </c>
      <c r="T26" s="81" t="s">
        <v>681</v>
      </c>
      <c r="U26" s="86" t="s">
        <v>633</v>
      </c>
    </row>
    <row r="27" spans="1:21" ht="12.6" customHeight="1">
      <c r="A27" s="80" t="s">
        <v>84</v>
      </c>
      <c r="B27" s="73" t="s">
        <v>545</v>
      </c>
      <c r="C27" s="81">
        <v>70</v>
      </c>
      <c r="D27" s="82">
        <v>2.8</v>
      </c>
      <c r="E27" s="81">
        <f t="shared" si="0"/>
        <v>112</v>
      </c>
      <c r="F27" s="83" t="s">
        <v>36</v>
      </c>
      <c r="G27" s="84">
        <v>0.25700000000000001</v>
      </c>
      <c r="H27" s="85">
        <v>0.52500000000000002</v>
      </c>
      <c r="I27" s="81">
        <v>95</v>
      </c>
      <c r="J27" s="81">
        <v>76</v>
      </c>
      <c r="K27" s="86">
        <v>62</v>
      </c>
      <c r="L27" s="81">
        <f>AVERAGE(238,199,119,220,188,247)</f>
        <v>201.83333333333334</v>
      </c>
      <c r="M27" s="86" t="s">
        <v>892</v>
      </c>
      <c r="N27" s="81">
        <f>AVERAGE(300,321,315,325)</f>
        <v>315.25</v>
      </c>
      <c r="O27" s="81" t="s">
        <v>892</v>
      </c>
      <c r="P27" s="87">
        <v>328</v>
      </c>
      <c r="Q27" s="81" t="s">
        <v>918</v>
      </c>
      <c r="R27" s="86" t="s">
        <v>28</v>
      </c>
      <c r="S27" s="87">
        <v>370</v>
      </c>
      <c r="T27" s="81" t="s">
        <v>639</v>
      </c>
      <c r="U27" s="86" t="s">
        <v>633</v>
      </c>
    </row>
    <row r="28" spans="1:21" ht="12.6" customHeight="1">
      <c r="A28" s="80" t="s">
        <v>84</v>
      </c>
      <c r="B28" s="73" t="s">
        <v>546</v>
      </c>
      <c r="C28" s="81">
        <v>85</v>
      </c>
      <c r="D28" s="82">
        <v>1.4</v>
      </c>
      <c r="E28" s="81">
        <f t="shared" ref="E28" si="5">1.6*C28</f>
        <v>136</v>
      </c>
      <c r="F28" s="83" t="s">
        <v>36</v>
      </c>
      <c r="G28" s="84">
        <v>0.85</v>
      </c>
      <c r="H28" s="85">
        <v>0.72499999999999998</v>
      </c>
      <c r="I28" s="81">
        <v>86.4</v>
      </c>
      <c r="J28" s="81">
        <v>86.4</v>
      </c>
      <c r="K28" s="86">
        <v>77</v>
      </c>
      <c r="L28" s="81">
        <f>AVERAGE(489,455,520,510,480,500,590,567,585)</f>
        <v>521.77777777777783</v>
      </c>
      <c r="M28" s="86" t="s">
        <v>1118</v>
      </c>
      <c r="N28" s="81">
        <f>AVERAGE(600,600,650,625,700,720,681)</f>
        <v>653.71428571428567</v>
      </c>
      <c r="O28" s="81" t="s">
        <v>1061</v>
      </c>
      <c r="P28" s="87">
        <v>650</v>
      </c>
      <c r="Q28" s="81" t="s">
        <v>1153</v>
      </c>
      <c r="R28" s="86" t="s">
        <v>633</v>
      </c>
      <c r="S28" s="87">
        <f>950*CA.US</f>
        <v>722</v>
      </c>
      <c r="T28" s="81" t="s">
        <v>925</v>
      </c>
      <c r="U28" s="86" t="s">
        <v>327</v>
      </c>
    </row>
    <row r="29" spans="1:21" ht="12.6" customHeight="1">
      <c r="A29" s="80" t="s">
        <v>84</v>
      </c>
      <c r="B29" s="73" t="s">
        <v>547</v>
      </c>
      <c r="C29" s="81">
        <v>105</v>
      </c>
      <c r="D29" s="82">
        <v>2.8</v>
      </c>
      <c r="E29" s="81">
        <f t="shared" si="0"/>
        <v>168</v>
      </c>
      <c r="F29" s="83" t="s">
        <v>36</v>
      </c>
      <c r="G29" s="84">
        <v>0.31</v>
      </c>
      <c r="H29" s="85">
        <v>0.45</v>
      </c>
      <c r="I29" s="81">
        <v>95</v>
      </c>
      <c r="J29" s="81">
        <v>74</v>
      </c>
      <c r="K29" s="86">
        <v>58</v>
      </c>
      <c r="L29" s="81">
        <f>AVERAGE(179,199,228,180,160,230,139,158,162,235,170,187)</f>
        <v>185.58333333333334</v>
      </c>
      <c r="M29" s="86" t="s">
        <v>954</v>
      </c>
      <c r="N29" s="81">
        <f>AVERAGE(250,230,225,249,281,195,247,240)</f>
        <v>239.625</v>
      </c>
      <c r="O29" s="81" t="s">
        <v>1171</v>
      </c>
      <c r="P29" s="87">
        <f>245*CA.US</f>
        <v>186.2</v>
      </c>
      <c r="Q29" s="81" t="s">
        <v>1061</v>
      </c>
      <c r="R29" s="86" t="s">
        <v>327</v>
      </c>
      <c r="S29" s="87">
        <v>340</v>
      </c>
      <c r="T29" s="81" t="s">
        <v>476</v>
      </c>
      <c r="U29" s="86" t="s">
        <v>28</v>
      </c>
    </row>
    <row r="30" spans="1:21" ht="12.6" customHeight="1">
      <c r="A30" s="80" t="s">
        <v>84</v>
      </c>
      <c r="B30" s="73" t="s">
        <v>548</v>
      </c>
      <c r="C30" s="81">
        <v>105</v>
      </c>
      <c r="D30" s="82">
        <v>2.8</v>
      </c>
      <c r="E30" s="81">
        <f t="shared" si="0"/>
        <v>168</v>
      </c>
      <c r="F30" s="83" t="s">
        <v>36</v>
      </c>
      <c r="G30" s="84">
        <v>0.31</v>
      </c>
      <c r="H30" s="85">
        <v>0.72499999999999998</v>
      </c>
      <c r="I30" s="81">
        <v>126.4</v>
      </c>
      <c r="J30" s="81">
        <v>78.7</v>
      </c>
      <c r="K30" s="86">
        <v>62</v>
      </c>
      <c r="L30" s="81">
        <f>AVERAGE(350,438,396,400,430,416)</f>
        <v>405</v>
      </c>
      <c r="M30" s="86" t="s">
        <v>723</v>
      </c>
      <c r="N30" s="81">
        <f>AVERAGE(500,409,588)</f>
        <v>499</v>
      </c>
      <c r="O30" s="81" t="s">
        <v>954</v>
      </c>
      <c r="P30" s="87">
        <v>550</v>
      </c>
      <c r="Q30" s="81" t="s">
        <v>639</v>
      </c>
      <c r="R30" s="86" t="s">
        <v>31</v>
      </c>
      <c r="S30" s="87" t="s">
        <v>14</v>
      </c>
      <c r="T30" s="81" t="s">
        <v>14</v>
      </c>
      <c r="U30" s="86" t="s">
        <v>14</v>
      </c>
    </row>
    <row r="31" spans="1:21" ht="12.6" customHeight="1">
      <c r="A31" s="80" t="s">
        <v>84</v>
      </c>
      <c r="B31" s="73" t="s">
        <v>549</v>
      </c>
      <c r="C31" s="81">
        <v>150</v>
      </c>
      <c r="D31" s="82">
        <v>2.8</v>
      </c>
      <c r="E31" s="81">
        <f t="shared" si="0"/>
        <v>240</v>
      </c>
      <c r="F31" s="83" t="s">
        <v>36</v>
      </c>
      <c r="G31" s="84">
        <v>0.38</v>
      </c>
      <c r="H31" s="85">
        <v>0.89500000000000002</v>
      </c>
      <c r="I31" s="81">
        <v>137</v>
      </c>
      <c r="J31" s="81">
        <v>79.599999999999994</v>
      </c>
      <c r="K31" s="86">
        <v>72</v>
      </c>
      <c r="L31" s="81">
        <f>AVERAGE(282,369,415,395,270,399)</f>
        <v>355</v>
      </c>
      <c r="M31" s="86" t="s">
        <v>925</v>
      </c>
      <c r="N31" s="81">
        <f>AVERAGE(495,538,500,435,590,530,515,460,455)</f>
        <v>502</v>
      </c>
      <c r="O31" s="81" t="s">
        <v>817</v>
      </c>
      <c r="P31" s="87">
        <v>480</v>
      </c>
      <c r="Q31" s="81" t="s">
        <v>708</v>
      </c>
      <c r="R31" s="86" t="s">
        <v>31</v>
      </c>
      <c r="S31" s="87">
        <v>600</v>
      </c>
      <c r="T31" s="81" t="s">
        <v>639</v>
      </c>
      <c r="U31" s="86" t="s">
        <v>31</v>
      </c>
    </row>
    <row r="32" spans="1:21" ht="12.6" customHeight="1">
      <c r="A32" s="80" t="s">
        <v>84</v>
      </c>
      <c r="B32" s="73" t="s">
        <v>550</v>
      </c>
      <c r="C32" s="81">
        <v>150</v>
      </c>
      <c r="D32" s="82">
        <v>2.8</v>
      </c>
      <c r="E32" s="81">
        <f t="shared" si="0"/>
        <v>240</v>
      </c>
      <c r="F32" s="83" t="s">
        <v>36</v>
      </c>
      <c r="G32" s="84">
        <v>0.38</v>
      </c>
      <c r="H32" s="85">
        <v>1.1499999999999999</v>
      </c>
      <c r="I32" s="81">
        <v>149.9</v>
      </c>
      <c r="J32" s="81">
        <v>79.599999999999994</v>
      </c>
      <c r="K32" s="86">
        <v>72</v>
      </c>
      <c r="L32" s="81">
        <f>AVERAGE(680,750,740)</f>
        <v>723.33333333333337</v>
      </c>
      <c r="M32" s="86" t="s">
        <v>817</v>
      </c>
      <c r="N32" s="81">
        <f>AVERAGE(875,940,949,881,939)</f>
        <v>916.8</v>
      </c>
      <c r="O32" s="81" t="s">
        <v>639</v>
      </c>
      <c r="P32" s="87">
        <v>660</v>
      </c>
      <c r="Q32" s="81" t="s">
        <v>1153</v>
      </c>
      <c r="R32" s="86" t="s">
        <v>633</v>
      </c>
      <c r="S32" s="87">
        <v>745</v>
      </c>
      <c r="T32" s="81" t="s">
        <v>918</v>
      </c>
      <c r="U32" s="86" t="s">
        <v>26</v>
      </c>
    </row>
    <row r="33" spans="1:21" ht="12.6" customHeight="1">
      <c r="A33" s="80" t="s">
        <v>84</v>
      </c>
      <c r="B33" s="73" t="s">
        <v>912</v>
      </c>
      <c r="C33" s="81">
        <v>180</v>
      </c>
      <c r="D33" s="82">
        <v>2.8</v>
      </c>
      <c r="E33" s="81">
        <f t="shared" si="0"/>
        <v>288</v>
      </c>
      <c r="F33" s="83" t="s">
        <v>36</v>
      </c>
      <c r="G33" s="84">
        <v>0.47</v>
      </c>
      <c r="H33" s="85">
        <v>1.63</v>
      </c>
      <c r="I33" s="81">
        <v>203.9</v>
      </c>
      <c r="J33" s="81">
        <v>95</v>
      </c>
      <c r="K33" s="86">
        <v>86</v>
      </c>
      <c r="L33" s="81">
        <f>AVERAGE(0)</f>
        <v>0</v>
      </c>
      <c r="M33" s="86" t="s">
        <v>14</v>
      </c>
      <c r="N33" s="81">
        <f>AVERAGE(1100)</f>
        <v>1100</v>
      </c>
      <c r="O33" s="81" t="s">
        <v>1153</v>
      </c>
      <c r="P33" s="87">
        <v>1220</v>
      </c>
      <c r="Q33" s="81" t="s">
        <v>1153</v>
      </c>
      <c r="R33" s="86" t="s">
        <v>28</v>
      </c>
      <c r="S33" s="87" t="s">
        <v>14</v>
      </c>
      <c r="T33" s="81" t="s">
        <v>14</v>
      </c>
      <c r="U33" s="86" t="s">
        <v>14</v>
      </c>
    </row>
    <row r="34" spans="1:21" ht="12.6" customHeight="1">
      <c r="A34" s="80" t="s">
        <v>84</v>
      </c>
      <c r="B34" s="73" t="s">
        <v>551</v>
      </c>
      <c r="C34" s="81">
        <v>180</v>
      </c>
      <c r="D34" s="82">
        <v>3.5</v>
      </c>
      <c r="E34" s="81">
        <f t="shared" si="0"/>
        <v>288</v>
      </c>
      <c r="F34" s="83" t="s">
        <v>36</v>
      </c>
      <c r="G34" s="84">
        <v>0.46</v>
      </c>
      <c r="H34" s="85">
        <v>0.95</v>
      </c>
      <c r="I34" s="81">
        <v>180</v>
      </c>
      <c r="J34" s="81">
        <v>80</v>
      </c>
      <c r="K34" s="86">
        <v>72</v>
      </c>
      <c r="L34" s="81">
        <f>AVERAGE(229,329,379,380,384,275,435,400,356,495,444,408)</f>
        <v>376.16666666666669</v>
      </c>
      <c r="M34" s="86" t="s">
        <v>1153</v>
      </c>
      <c r="N34" s="81">
        <f>AVERAGE(510,600,500,450,575,599,485,625,575,650)</f>
        <v>556.9</v>
      </c>
      <c r="O34" s="81" t="s">
        <v>619</v>
      </c>
      <c r="P34" s="87">
        <v>415</v>
      </c>
      <c r="Q34" s="81" t="s">
        <v>723</v>
      </c>
      <c r="R34" s="86" t="s">
        <v>456</v>
      </c>
      <c r="S34" s="87" t="s">
        <v>14</v>
      </c>
      <c r="T34" s="81" t="s">
        <v>14</v>
      </c>
      <c r="U34" s="86" t="s">
        <v>14</v>
      </c>
    </row>
    <row r="35" spans="1:21" ht="12.6" customHeight="1">
      <c r="A35" s="80" t="s">
        <v>84</v>
      </c>
      <c r="B35" s="73" t="s">
        <v>552</v>
      </c>
      <c r="C35" s="81">
        <v>300</v>
      </c>
      <c r="D35" s="82">
        <v>2.8</v>
      </c>
      <c r="E35" s="81">
        <f t="shared" si="0"/>
        <v>480</v>
      </c>
      <c r="F35" s="83" t="s">
        <v>36</v>
      </c>
      <c r="G35" s="84">
        <v>2.5</v>
      </c>
      <c r="H35" s="85">
        <v>2.4</v>
      </c>
      <c r="I35" s="81">
        <v>214</v>
      </c>
      <c r="J35" s="81">
        <v>119</v>
      </c>
      <c r="K35" s="86">
        <v>46</v>
      </c>
      <c r="L35" s="81">
        <f>AVERAGE(777,910,1009)</f>
        <v>898.66666666666663</v>
      </c>
      <c r="M35" s="86" t="s">
        <v>874</v>
      </c>
      <c r="N35" s="81">
        <f>AVERAGE(1598,1650,1582,1505,1700,1900,1600)</f>
        <v>1647.8571428571429</v>
      </c>
      <c r="O35" s="81" t="s">
        <v>723</v>
      </c>
      <c r="P35" s="87">
        <v>1900</v>
      </c>
      <c r="Q35" s="81" t="s">
        <v>619</v>
      </c>
      <c r="R35" s="86" t="s">
        <v>28</v>
      </c>
      <c r="S35" s="87">
        <v>2600</v>
      </c>
      <c r="T35" s="81" t="s">
        <v>639</v>
      </c>
      <c r="U35" s="86" t="s">
        <v>31</v>
      </c>
    </row>
    <row r="36" spans="1:21" ht="12.6" customHeight="1">
      <c r="A36" s="80" t="s">
        <v>84</v>
      </c>
      <c r="B36" s="73" t="s">
        <v>553</v>
      </c>
      <c r="C36" s="81">
        <v>500</v>
      </c>
      <c r="D36" s="82">
        <v>4.5</v>
      </c>
      <c r="E36" s="81">
        <f t="shared" ref="E36" si="6">1.6*C36</f>
        <v>800</v>
      </c>
      <c r="F36" s="83" t="s">
        <v>36</v>
      </c>
      <c r="G36" s="84">
        <v>4</v>
      </c>
      <c r="H36" s="85">
        <v>3.1</v>
      </c>
      <c r="I36" s="81">
        <v>350</v>
      </c>
      <c r="J36" s="81">
        <v>123</v>
      </c>
      <c r="K36" s="86">
        <v>46</v>
      </c>
      <c r="L36" s="81">
        <f>AVERAGE(1227,1284,1575,2303,2125)</f>
        <v>1702.8</v>
      </c>
      <c r="M36" s="86" t="s">
        <v>892</v>
      </c>
      <c r="N36" s="81">
        <f>AVERAGE(2466)</f>
        <v>2466</v>
      </c>
      <c r="O36" s="81" t="s">
        <v>723</v>
      </c>
      <c r="P36" s="87">
        <v>2292</v>
      </c>
      <c r="Q36" s="81" t="s">
        <v>1153</v>
      </c>
      <c r="R36" s="86" t="s">
        <v>28</v>
      </c>
      <c r="S36" s="87">
        <v>2750</v>
      </c>
      <c r="T36" s="81" t="s">
        <v>1153</v>
      </c>
      <c r="U36" s="86" t="s">
        <v>30</v>
      </c>
    </row>
    <row r="37" spans="1:21" ht="12.6" customHeight="1">
      <c r="A37" s="80" t="s">
        <v>84</v>
      </c>
      <c r="B37" s="73" t="s">
        <v>911</v>
      </c>
      <c r="C37" s="81">
        <v>500</v>
      </c>
      <c r="D37" s="81">
        <v>4</v>
      </c>
      <c r="E37" s="81">
        <f t="shared" si="0"/>
        <v>800</v>
      </c>
      <c r="F37" s="83" t="s">
        <v>36</v>
      </c>
      <c r="G37" s="84">
        <v>3.5</v>
      </c>
      <c r="H37" s="85">
        <v>3.31</v>
      </c>
      <c r="I37" s="81">
        <v>380.3</v>
      </c>
      <c r="J37" s="81">
        <v>144.80000000000001</v>
      </c>
      <c r="K37" s="86">
        <v>46</v>
      </c>
      <c r="L37" s="81">
        <f>AVERAGE(0)</f>
        <v>0</v>
      </c>
      <c r="M37" s="86" t="s">
        <v>14</v>
      </c>
      <c r="N37" s="81">
        <f>AVERAGE(0)</f>
        <v>0</v>
      </c>
      <c r="O37" s="81" t="s">
        <v>14</v>
      </c>
      <c r="P37" s="87">
        <v>2292</v>
      </c>
      <c r="Q37" s="81" t="s">
        <v>1153</v>
      </c>
      <c r="R37" s="86" t="s">
        <v>28</v>
      </c>
      <c r="S37" s="116">
        <v>6000</v>
      </c>
      <c r="T37" s="81" t="s">
        <v>918</v>
      </c>
      <c r="U37" s="86" t="s">
        <v>30</v>
      </c>
    </row>
    <row r="38" spans="1:21" ht="12.6" customHeight="1">
      <c r="A38" s="88" t="s">
        <v>84</v>
      </c>
      <c r="B38" s="67" t="s">
        <v>554</v>
      </c>
      <c r="C38" s="89">
        <v>800</v>
      </c>
      <c r="D38" s="102">
        <v>5.6</v>
      </c>
      <c r="E38" s="89">
        <f t="shared" si="0"/>
        <v>1280</v>
      </c>
      <c r="F38" s="90" t="s">
        <v>36</v>
      </c>
      <c r="G38" s="91">
        <v>7</v>
      </c>
      <c r="H38" s="92">
        <v>4.74</v>
      </c>
      <c r="I38" s="89">
        <v>520</v>
      </c>
      <c r="J38" s="89">
        <v>157</v>
      </c>
      <c r="K38" s="93">
        <v>46</v>
      </c>
      <c r="L38" s="94">
        <f>AVERAGE(3350,3606,3550)</f>
        <v>3502</v>
      </c>
      <c r="M38" s="93" t="s">
        <v>681</v>
      </c>
      <c r="N38" s="89">
        <f>AVERAGE(4428,3870,4500)</f>
        <v>4266</v>
      </c>
      <c r="O38" s="89" t="s">
        <v>519</v>
      </c>
      <c r="P38" s="94">
        <v>2300</v>
      </c>
      <c r="Q38" s="89" t="s">
        <v>681</v>
      </c>
      <c r="R38" s="93" t="s">
        <v>30</v>
      </c>
      <c r="S38" s="211" t="s">
        <v>14</v>
      </c>
      <c r="T38" s="89" t="s">
        <v>14</v>
      </c>
      <c r="U38" s="93" t="s">
        <v>14</v>
      </c>
    </row>
    <row r="39" spans="1:21" ht="12.6" customHeight="1">
      <c r="A39" s="80" t="s">
        <v>84</v>
      </c>
      <c r="B39" s="73" t="s">
        <v>561</v>
      </c>
      <c r="C39" s="103" t="s">
        <v>86</v>
      </c>
      <c r="D39" s="82" t="s">
        <v>75</v>
      </c>
      <c r="E39" s="81" t="s">
        <v>87</v>
      </c>
      <c r="F39" s="83" t="s">
        <v>36</v>
      </c>
      <c r="G39" s="84">
        <v>0.28000000000000003</v>
      </c>
      <c r="H39" s="85">
        <v>0.67</v>
      </c>
      <c r="I39" s="81">
        <v>119.38</v>
      </c>
      <c r="J39" s="81">
        <v>83.82</v>
      </c>
      <c r="K39" s="86" t="s">
        <v>29</v>
      </c>
      <c r="L39" s="81">
        <f>AVERAGE(385)</f>
        <v>385</v>
      </c>
      <c r="M39" s="86" t="s">
        <v>1153</v>
      </c>
      <c r="N39" s="104">
        <f>AVERAGE(619,609)</f>
        <v>614</v>
      </c>
      <c r="O39" s="81" t="s">
        <v>892</v>
      </c>
      <c r="P39" s="87" t="s">
        <v>14</v>
      </c>
      <c r="Q39" s="81" t="s">
        <v>14</v>
      </c>
      <c r="R39" s="86" t="s">
        <v>14</v>
      </c>
      <c r="S39" s="87" t="s">
        <v>14</v>
      </c>
      <c r="T39" s="81" t="s">
        <v>14</v>
      </c>
      <c r="U39" s="86" t="s">
        <v>14</v>
      </c>
    </row>
    <row r="40" spans="1:21" ht="12.6" customHeight="1">
      <c r="A40" s="80" t="s">
        <v>84</v>
      </c>
      <c r="B40" s="73" t="s">
        <v>560</v>
      </c>
      <c r="C40" s="85" t="s">
        <v>50</v>
      </c>
      <c r="D40" s="82">
        <v>2.8</v>
      </c>
      <c r="E40" s="85" t="s">
        <v>90</v>
      </c>
      <c r="F40" s="83" t="s">
        <v>36</v>
      </c>
      <c r="G40" s="84">
        <v>0.39600000000000002</v>
      </c>
      <c r="H40" s="85">
        <v>0.7</v>
      </c>
      <c r="I40" s="81">
        <v>114.3</v>
      </c>
      <c r="J40" s="81">
        <v>88.9</v>
      </c>
      <c r="K40" s="86">
        <v>82</v>
      </c>
      <c r="L40" s="81">
        <f>AVERAGE(268,276,267)</f>
        <v>270.33333333333331</v>
      </c>
      <c r="M40" s="86" t="s">
        <v>918</v>
      </c>
      <c r="N40" s="81">
        <f>AVERAGE(300,399,399)</f>
        <v>366</v>
      </c>
      <c r="O40" s="25" t="s">
        <v>1005</v>
      </c>
      <c r="P40" s="87">
        <v>367</v>
      </c>
      <c r="Q40" s="81" t="s">
        <v>918</v>
      </c>
      <c r="R40" s="86" t="s">
        <v>28</v>
      </c>
      <c r="S40" s="87">
        <v>364</v>
      </c>
      <c r="T40" s="81" t="s">
        <v>639</v>
      </c>
      <c r="U40" s="86" t="s">
        <v>327</v>
      </c>
    </row>
    <row r="41" spans="1:21" ht="12.6" customHeight="1">
      <c r="A41" s="80" t="s">
        <v>84</v>
      </c>
      <c r="B41" s="73" t="s">
        <v>559</v>
      </c>
      <c r="C41" s="85" t="s">
        <v>54</v>
      </c>
      <c r="D41" s="82">
        <v>2.8</v>
      </c>
      <c r="E41" s="85" t="s">
        <v>91</v>
      </c>
      <c r="F41" s="83" t="s">
        <v>36</v>
      </c>
      <c r="G41" s="84">
        <v>0.4</v>
      </c>
      <c r="H41" s="85">
        <v>0.64500000000000002</v>
      </c>
      <c r="I41" s="81">
        <v>101</v>
      </c>
      <c r="J41" s="81">
        <v>84</v>
      </c>
      <c r="K41" s="86">
        <v>77</v>
      </c>
      <c r="L41" s="81">
        <f>AVERAGE(188,205,240,236,215,218,203,215,280)</f>
        <v>222.22222222222223</v>
      </c>
      <c r="M41" s="86" t="s">
        <v>814</v>
      </c>
      <c r="N41" s="81">
        <f>AVERAGE(235,309)</f>
        <v>272</v>
      </c>
      <c r="O41" s="81" t="s">
        <v>619</v>
      </c>
      <c r="P41" s="87">
        <v>254</v>
      </c>
      <c r="Q41" s="81" t="s">
        <v>619</v>
      </c>
      <c r="R41" s="86" t="s">
        <v>28</v>
      </c>
      <c r="S41" s="87" t="s">
        <v>14</v>
      </c>
      <c r="T41" s="81" t="s">
        <v>14</v>
      </c>
      <c r="U41" s="86" t="s">
        <v>14</v>
      </c>
    </row>
    <row r="42" spans="1:21" ht="12.6" customHeight="1">
      <c r="A42" s="80" t="s">
        <v>84</v>
      </c>
      <c r="B42" s="73" t="s">
        <v>646</v>
      </c>
      <c r="C42" s="85" t="s">
        <v>92</v>
      </c>
      <c r="D42" s="82" t="s">
        <v>93</v>
      </c>
      <c r="E42" s="85" t="s">
        <v>94</v>
      </c>
      <c r="F42" s="83" t="s">
        <v>36</v>
      </c>
      <c r="G42" s="99" t="s">
        <v>95</v>
      </c>
      <c r="H42" s="85">
        <v>1.65</v>
      </c>
      <c r="I42" s="81">
        <v>218</v>
      </c>
      <c r="J42" s="81">
        <v>94</v>
      </c>
      <c r="K42" s="86" t="s">
        <v>96</v>
      </c>
      <c r="L42" s="81">
        <f>AVERAGE(476,490,470,540,581,510,400,600,530)</f>
        <v>510.77777777777777</v>
      </c>
      <c r="M42" s="86" t="s">
        <v>954</v>
      </c>
      <c r="N42" s="81">
        <f>AVERAGE(700,750,850,761,710,798,692,723)</f>
        <v>748</v>
      </c>
      <c r="O42" s="81" t="s">
        <v>674</v>
      </c>
      <c r="P42" s="87">
        <v>550</v>
      </c>
      <c r="Q42" s="81" t="s">
        <v>681</v>
      </c>
      <c r="R42" s="86" t="s">
        <v>28</v>
      </c>
      <c r="S42" s="87">
        <v>695</v>
      </c>
      <c r="T42" s="81" t="s">
        <v>619</v>
      </c>
      <c r="U42" s="86" t="s">
        <v>28</v>
      </c>
    </row>
    <row r="43" spans="1:21" ht="12.6" customHeight="1">
      <c r="A43" s="88" t="s">
        <v>84</v>
      </c>
      <c r="B43" s="67" t="s">
        <v>558</v>
      </c>
      <c r="C43" s="92" t="s">
        <v>92</v>
      </c>
      <c r="D43" s="102" t="s">
        <v>93</v>
      </c>
      <c r="E43" s="92" t="s">
        <v>94</v>
      </c>
      <c r="F43" s="90" t="s">
        <v>36</v>
      </c>
      <c r="G43" s="91">
        <v>0.5</v>
      </c>
      <c r="H43" s="92">
        <v>1.96</v>
      </c>
      <c r="I43" s="89">
        <v>218.4</v>
      </c>
      <c r="J43" s="89">
        <v>104.1</v>
      </c>
      <c r="K43" s="93">
        <v>95</v>
      </c>
      <c r="L43" s="89">
        <f>AVERAGE(648,525,699,799,695,898,725)</f>
        <v>712.71428571428567</v>
      </c>
      <c r="M43" s="93" t="s">
        <v>1061</v>
      </c>
      <c r="N43" s="89">
        <f>AVERAGE(905,1100,1095)</f>
        <v>1033.3333333333333</v>
      </c>
      <c r="O43" s="89" t="s">
        <v>954</v>
      </c>
      <c r="P43" s="94">
        <v>960</v>
      </c>
      <c r="Q43" s="89" t="s">
        <v>918</v>
      </c>
      <c r="R43" s="93" t="s">
        <v>28</v>
      </c>
      <c r="S43" s="94" t="s">
        <v>14</v>
      </c>
      <c r="T43" s="89" t="s">
        <v>14</v>
      </c>
      <c r="U43" s="93" t="s">
        <v>14</v>
      </c>
    </row>
    <row r="44" spans="1:21" ht="12.6" customHeight="1">
      <c r="A44" s="80" t="s">
        <v>84</v>
      </c>
      <c r="B44" s="73" t="s">
        <v>793</v>
      </c>
      <c r="C44" s="85" t="s">
        <v>59</v>
      </c>
      <c r="D44" s="82">
        <v>2.8</v>
      </c>
      <c r="E44" s="85" t="s">
        <v>97</v>
      </c>
      <c r="F44" s="83" t="s">
        <v>36</v>
      </c>
      <c r="G44" s="84">
        <v>1.8</v>
      </c>
      <c r="H44" s="85">
        <v>1.39</v>
      </c>
      <c r="I44" s="81">
        <v>180</v>
      </c>
      <c r="J44" s="81">
        <v>86</v>
      </c>
      <c r="K44" s="86">
        <v>77</v>
      </c>
      <c r="L44" s="81">
        <f>AVERAGE(445,427,455,407,489,440,511,429,520,437)</f>
        <v>456</v>
      </c>
      <c r="M44" s="86" t="s">
        <v>1171</v>
      </c>
      <c r="N44" s="81">
        <f>AVERAGE(671,575,601,500,495,530,510,500,550,595,570)</f>
        <v>554.27272727272725</v>
      </c>
      <c r="O44" s="81" t="s">
        <v>1171</v>
      </c>
      <c r="P44" s="87">
        <v>610</v>
      </c>
      <c r="Q44" s="81" t="s">
        <v>708</v>
      </c>
      <c r="R44" s="86" t="s">
        <v>31</v>
      </c>
      <c r="S44" s="87">
        <v>725</v>
      </c>
      <c r="T44" s="81" t="s">
        <v>619</v>
      </c>
      <c r="U44" s="86" t="s">
        <v>28</v>
      </c>
    </row>
    <row r="45" spans="1:21" ht="12.6" customHeight="1">
      <c r="A45" s="88" t="s">
        <v>84</v>
      </c>
      <c r="B45" s="67" t="s">
        <v>557</v>
      </c>
      <c r="C45" s="92" t="s">
        <v>59</v>
      </c>
      <c r="D45" s="102">
        <v>2.8</v>
      </c>
      <c r="E45" s="92" t="s">
        <v>97</v>
      </c>
      <c r="F45" s="90" t="s">
        <v>36</v>
      </c>
      <c r="G45" s="91">
        <v>1.4</v>
      </c>
      <c r="H45" s="92">
        <v>1.43</v>
      </c>
      <c r="I45" s="89">
        <v>197.6</v>
      </c>
      <c r="J45" s="89">
        <v>86.4</v>
      </c>
      <c r="K45" s="93">
        <v>77</v>
      </c>
      <c r="L45" s="89">
        <f>AVERAGE(680,661,635,669,737,799)</f>
        <v>696.83333333333337</v>
      </c>
      <c r="M45" s="93" t="s">
        <v>1111</v>
      </c>
      <c r="N45" s="89">
        <f>AVERAGE(850)</f>
        <v>850</v>
      </c>
      <c r="O45" s="89" t="s">
        <v>1061</v>
      </c>
      <c r="P45" s="94">
        <v>1000</v>
      </c>
      <c r="Q45" s="89" t="s">
        <v>1153</v>
      </c>
      <c r="R45" s="93" t="s">
        <v>28</v>
      </c>
      <c r="S45" s="94">
        <v>1030</v>
      </c>
      <c r="T45" s="89" t="s">
        <v>639</v>
      </c>
      <c r="U45" s="93" t="s">
        <v>633</v>
      </c>
    </row>
    <row r="46" spans="1:21" ht="12.6" customHeight="1">
      <c r="A46" s="80" t="s">
        <v>84</v>
      </c>
      <c r="B46" s="73" t="s">
        <v>930</v>
      </c>
      <c r="C46" s="85" t="s">
        <v>74</v>
      </c>
      <c r="D46" s="82" t="s">
        <v>501</v>
      </c>
      <c r="E46" s="85" t="s">
        <v>76</v>
      </c>
      <c r="F46" s="83" t="s">
        <v>36</v>
      </c>
      <c r="G46" s="84">
        <v>0.16</v>
      </c>
      <c r="H46" s="85">
        <v>1.1599999999999999</v>
      </c>
      <c r="I46" s="81">
        <v>182.3</v>
      </c>
      <c r="J46" s="81">
        <v>86.4</v>
      </c>
      <c r="K46" s="86">
        <v>67</v>
      </c>
      <c r="L46" s="81">
        <f t="shared" ref="L46" si="7">AVERAGE(0)</f>
        <v>0</v>
      </c>
      <c r="M46" s="86" t="s">
        <v>14</v>
      </c>
      <c r="N46" s="81">
        <f t="shared" ref="N46" si="8">AVERAGE(0)</f>
        <v>0</v>
      </c>
      <c r="O46" s="81" t="s">
        <v>14</v>
      </c>
      <c r="P46" s="87" t="s">
        <v>14</v>
      </c>
      <c r="Q46" s="81" t="s">
        <v>14</v>
      </c>
      <c r="R46" s="86" t="s">
        <v>14</v>
      </c>
      <c r="S46" s="87" t="s">
        <v>14</v>
      </c>
      <c r="T46" s="81" t="s">
        <v>14</v>
      </c>
      <c r="U46" s="86" t="s">
        <v>14</v>
      </c>
    </row>
    <row r="47" spans="1:21" ht="12.6" customHeight="1">
      <c r="A47" s="80" t="s">
        <v>84</v>
      </c>
      <c r="B47" s="73" t="s">
        <v>499</v>
      </c>
      <c r="C47" s="85" t="s">
        <v>98</v>
      </c>
      <c r="D47" s="82">
        <v>2.8</v>
      </c>
      <c r="E47" s="85" t="s">
        <v>99</v>
      </c>
      <c r="F47" s="83" t="s">
        <v>36</v>
      </c>
      <c r="G47" s="84">
        <v>2.5</v>
      </c>
      <c r="H47" s="85">
        <v>2.6</v>
      </c>
      <c r="I47" s="81">
        <v>268.5</v>
      </c>
      <c r="J47" s="81">
        <v>112.8</v>
      </c>
      <c r="K47" s="86">
        <v>105</v>
      </c>
      <c r="L47" s="81">
        <f>AVERAGE(788,750,999,700,895,895,880,792)</f>
        <v>837.375</v>
      </c>
      <c r="M47" s="86" t="s">
        <v>1153</v>
      </c>
      <c r="N47" s="81">
        <f>AVERAGE(1100,1000,1326,1295,1295)</f>
        <v>1203.2</v>
      </c>
      <c r="O47" s="81" t="s">
        <v>924</v>
      </c>
      <c r="P47" s="87">
        <v>1360</v>
      </c>
      <c r="Q47" s="81" t="s">
        <v>681</v>
      </c>
      <c r="R47" s="86" t="s">
        <v>28</v>
      </c>
      <c r="S47" s="87">
        <f>2495*CA.US</f>
        <v>1896.2</v>
      </c>
      <c r="T47" s="81" t="s">
        <v>1061</v>
      </c>
      <c r="U47" s="86" t="s">
        <v>873</v>
      </c>
    </row>
    <row r="48" spans="1:21" ht="12.6" customHeight="1">
      <c r="A48" s="80" t="s">
        <v>84</v>
      </c>
      <c r="B48" s="73" t="s">
        <v>498</v>
      </c>
      <c r="C48" s="85" t="s">
        <v>98</v>
      </c>
      <c r="D48" s="82">
        <v>2.8</v>
      </c>
      <c r="E48" s="85" t="s">
        <v>99</v>
      </c>
      <c r="F48" s="83" t="s">
        <v>36</v>
      </c>
      <c r="G48" s="213" t="s">
        <v>485</v>
      </c>
      <c r="H48" s="85">
        <v>2.95</v>
      </c>
      <c r="I48" s="81">
        <v>289.2</v>
      </c>
      <c r="J48" s="81">
        <v>114</v>
      </c>
      <c r="K48" s="86">
        <v>105</v>
      </c>
      <c r="L48" s="81">
        <f>AVERAGE(1265,1230,1400,1286,1400,1448,1300,1100)</f>
        <v>1303.625</v>
      </c>
      <c r="M48" s="86" t="s">
        <v>1153</v>
      </c>
      <c r="N48" s="81">
        <f>AVERAGE(2500,2147,1898,2034,2250,2091,1978,2250,2240,2240)</f>
        <v>2162.8000000000002</v>
      </c>
      <c r="O48" s="86" t="s">
        <v>632</v>
      </c>
      <c r="P48" s="87">
        <v>1700</v>
      </c>
      <c r="Q48" s="81" t="s">
        <v>681</v>
      </c>
      <c r="R48" s="86" t="s">
        <v>31</v>
      </c>
      <c r="S48" s="116">
        <v>2700</v>
      </c>
      <c r="T48" s="81" t="s">
        <v>542</v>
      </c>
      <c r="U48" s="86" t="s">
        <v>30</v>
      </c>
    </row>
    <row r="49" spans="1:21" ht="12.6" customHeight="1">
      <c r="A49" s="80" t="s">
        <v>84</v>
      </c>
      <c r="B49" s="73" t="s">
        <v>686</v>
      </c>
      <c r="C49" s="85" t="s">
        <v>98</v>
      </c>
      <c r="D49" s="82">
        <v>2.8</v>
      </c>
      <c r="E49" s="85" t="s">
        <v>99</v>
      </c>
      <c r="F49" s="83" t="s">
        <v>36</v>
      </c>
      <c r="G49" s="84">
        <v>1.5</v>
      </c>
      <c r="H49" s="85">
        <v>3.39</v>
      </c>
      <c r="I49" s="81">
        <v>291</v>
      </c>
      <c r="J49" s="81">
        <v>121.4</v>
      </c>
      <c r="K49" s="86">
        <v>105</v>
      </c>
      <c r="L49" s="81">
        <f>AVERAGE(2226,2025,2300,2430,2450,2196,2107)</f>
        <v>2247.7142857142858</v>
      </c>
      <c r="M49" s="86" t="s">
        <v>1091</v>
      </c>
      <c r="N49" s="81">
        <f>AVERAGE(2452,2430,2800)</f>
        <v>2560.6666666666665</v>
      </c>
      <c r="O49" s="81" t="s">
        <v>723</v>
      </c>
      <c r="P49" s="87">
        <v>2900</v>
      </c>
      <c r="Q49" s="81" t="s">
        <v>918</v>
      </c>
      <c r="R49" s="86" t="s">
        <v>28</v>
      </c>
      <c r="S49" s="116">
        <v>3600</v>
      </c>
      <c r="T49" s="81" t="s">
        <v>639</v>
      </c>
      <c r="U49" s="86" t="s">
        <v>28</v>
      </c>
    </row>
    <row r="50" spans="1:21" ht="12.6" customHeight="1">
      <c r="A50" s="80" t="s">
        <v>84</v>
      </c>
      <c r="B50" s="73" t="s">
        <v>794</v>
      </c>
      <c r="C50" s="85" t="s">
        <v>242</v>
      </c>
      <c r="D50" s="82" t="s">
        <v>501</v>
      </c>
      <c r="E50" s="85" t="s">
        <v>243</v>
      </c>
      <c r="F50" s="83" t="s">
        <v>36</v>
      </c>
      <c r="G50" s="84">
        <v>2.2000000000000002</v>
      </c>
      <c r="H50" s="85">
        <v>1.91</v>
      </c>
      <c r="I50" s="81">
        <v>252</v>
      </c>
      <c r="J50" s="81">
        <v>74.7</v>
      </c>
      <c r="K50" s="86">
        <v>58</v>
      </c>
      <c r="L50" s="81">
        <f>AVERAGE(425,350,500,405,450,528,338,391,420,480,540,510,495,525)</f>
        <v>454.07142857142856</v>
      </c>
      <c r="M50" s="86" t="s">
        <v>1153</v>
      </c>
      <c r="N50" s="81">
        <f>AVERAGE(599,608,610,636,719,710)</f>
        <v>647</v>
      </c>
      <c r="O50" s="81" t="s">
        <v>1153</v>
      </c>
      <c r="P50" s="87">
        <f>595*CA.US</f>
        <v>452.2</v>
      </c>
      <c r="Q50" s="81" t="s">
        <v>1061</v>
      </c>
      <c r="R50" s="86" t="s">
        <v>873</v>
      </c>
      <c r="S50" s="87">
        <v>650</v>
      </c>
      <c r="T50" s="81" t="s">
        <v>918</v>
      </c>
      <c r="U50" s="86" t="s">
        <v>28</v>
      </c>
    </row>
    <row r="51" spans="1:21" ht="12.6" customHeight="1">
      <c r="A51" s="80" t="s">
        <v>84</v>
      </c>
      <c r="B51" s="73" t="s">
        <v>697</v>
      </c>
      <c r="C51" s="85" t="s">
        <v>597</v>
      </c>
      <c r="D51" s="82" t="s">
        <v>501</v>
      </c>
      <c r="E51" s="85" t="s">
        <v>598</v>
      </c>
      <c r="F51" s="83" t="s">
        <v>36</v>
      </c>
      <c r="G51" s="84">
        <v>2.8</v>
      </c>
      <c r="H51" s="85">
        <v>1.93</v>
      </c>
      <c r="I51" s="81">
        <v>260.10000000000002</v>
      </c>
      <c r="J51" s="81">
        <v>105</v>
      </c>
      <c r="K51" s="86">
        <v>95</v>
      </c>
      <c r="L51" s="81">
        <f>AVERAGE(680,675,700,730)</f>
        <v>696.25</v>
      </c>
      <c r="M51" s="86" t="s">
        <v>1153</v>
      </c>
      <c r="N51" s="81">
        <f>AVERAGE(800,760,800,749,775,780,800,846)</f>
        <v>788.75</v>
      </c>
      <c r="O51" s="81" t="s">
        <v>1153</v>
      </c>
      <c r="P51" s="87" t="s">
        <v>14</v>
      </c>
      <c r="Q51" s="81" t="s">
        <v>14</v>
      </c>
      <c r="R51" s="86" t="s">
        <v>14</v>
      </c>
      <c r="S51" s="116">
        <v>1090</v>
      </c>
      <c r="T51" s="81" t="s">
        <v>685</v>
      </c>
      <c r="U51" s="86" t="s">
        <v>30</v>
      </c>
    </row>
    <row r="52" spans="1:21" ht="12.6" customHeight="1">
      <c r="A52" s="80" t="s">
        <v>84</v>
      </c>
      <c r="B52" s="73" t="s">
        <v>698</v>
      </c>
      <c r="C52" s="85" t="s">
        <v>597</v>
      </c>
      <c r="D52" s="82" t="s">
        <v>501</v>
      </c>
      <c r="E52" s="85" t="s">
        <v>598</v>
      </c>
      <c r="F52" s="83" t="s">
        <v>36</v>
      </c>
      <c r="G52" s="84">
        <v>2.86</v>
      </c>
      <c r="H52" s="85">
        <v>2.86</v>
      </c>
      <c r="I52" s="81">
        <v>290.2</v>
      </c>
      <c r="J52" s="81">
        <v>121</v>
      </c>
      <c r="K52" s="86">
        <v>105</v>
      </c>
      <c r="L52" s="81">
        <f>AVERAGE(1090)</f>
        <v>1090</v>
      </c>
      <c r="M52" s="86" t="s">
        <v>1100</v>
      </c>
      <c r="N52" s="81">
        <f>AVERAGE(1275,1180)</f>
        <v>1227.5</v>
      </c>
      <c r="O52" s="81" t="s">
        <v>1118</v>
      </c>
      <c r="P52" s="87" t="s">
        <v>14</v>
      </c>
      <c r="Q52" s="81" t="s">
        <v>14</v>
      </c>
      <c r="R52" s="86" t="s">
        <v>14</v>
      </c>
      <c r="S52" s="116">
        <v>2000</v>
      </c>
      <c r="T52" s="81" t="s">
        <v>685</v>
      </c>
      <c r="U52" s="86" t="s">
        <v>30</v>
      </c>
    </row>
    <row r="53" spans="1:21" ht="12.6" customHeight="1">
      <c r="A53" s="80" t="s">
        <v>84</v>
      </c>
      <c r="B53" s="73" t="s">
        <v>489</v>
      </c>
      <c r="C53" s="85" t="s">
        <v>110</v>
      </c>
      <c r="D53" s="82">
        <v>2.8</v>
      </c>
      <c r="E53" s="85" t="s">
        <v>269</v>
      </c>
      <c r="F53" s="83" t="s">
        <v>36</v>
      </c>
      <c r="G53" s="84" t="s">
        <v>272</v>
      </c>
      <c r="H53" s="82">
        <v>15.7</v>
      </c>
      <c r="I53" s="81">
        <v>726</v>
      </c>
      <c r="J53" s="81">
        <v>236</v>
      </c>
      <c r="K53" s="86" t="s">
        <v>271</v>
      </c>
      <c r="L53" s="81">
        <f>AVERAGE(0)</f>
        <v>0</v>
      </c>
      <c r="M53" s="86" t="s">
        <v>14</v>
      </c>
      <c r="N53" s="81" t="s">
        <v>270</v>
      </c>
      <c r="O53" s="81" t="s">
        <v>273</v>
      </c>
      <c r="P53" s="87" t="s">
        <v>14</v>
      </c>
      <c r="Q53" s="81" t="s">
        <v>14</v>
      </c>
      <c r="R53" s="86" t="s">
        <v>14</v>
      </c>
      <c r="S53" s="87" t="s">
        <v>807</v>
      </c>
      <c r="T53" s="81" t="s">
        <v>813</v>
      </c>
      <c r="U53" s="86" t="s">
        <v>30</v>
      </c>
    </row>
    <row r="54" spans="1:21" ht="12.6" customHeight="1">
      <c r="A54" s="88" t="s">
        <v>84</v>
      </c>
      <c r="B54" s="67" t="s">
        <v>397</v>
      </c>
      <c r="C54" s="89" t="s">
        <v>100</v>
      </c>
      <c r="D54" s="102">
        <v>5.6</v>
      </c>
      <c r="E54" s="89" t="s">
        <v>101</v>
      </c>
      <c r="F54" s="90" t="s">
        <v>36</v>
      </c>
      <c r="G54" s="91">
        <v>6</v>
      </c>
      <c r="H54" s="92">
        <v>5.87</v>
      </c>
      <c r="I54" s="89">
        <v>541.5</v>
      </c>
      <c r="J54" s="89">
        <v>165.5</v>
      </c>
      <c r="K54" s="93" t="s">
        <v>102</v>
      </c>
      <c r="L54" s="94">
        <f>AVERAGE(2789)</f>
        <v>2789</v>
      </c>
      <c r="M54" s="93" t="s">
        <v>892</v>
      </c>
      <c r="N54" s="89">
        <f>AVERAGE(6344,5149,5500,5355)</f>
        <v>5587</v>
      </c>
      <c r="O54" s="89" t="s">
        <v>672</v>
      </c>
      <c r="P54" s="94">
        <v>4462</v>
      </c>
      <c r="Q54" s="89" t="s">
        <v>1153</v>
      </c>
      <c r="R54" s="93" t="s">
        <v>28</v>
      </c>
      <c r="S54" s="94">
        <v>4850</v>
      </c>
      <c r="T54" s="89" t="s">
        <v>467</v>
      </c>
      <c r="U54" s="93" t="s">
        <v>31</v>
      </c>
    </row>
    <row r="55" spans="1:21" ht="12.6" customHeight="1">
      <c r="C55" s="21" t="s">
        <v>14</v>
      </c>
      <c r="D55" s="34" t="s">
        <v>14</v>
      </c>
      <c r="E55" s="21" t="s">
        <v>14</v>
      </c>
      <c r="F55" s="21" t="s">
        <v>14</v>
      </c>
      <c r="G55" s="34" t="s">
        <v>14</v>
      </c>
      <c r="H55" s="35" t="s">
        <v>14</v>
      </c>
      <c r="I55" s="20" t="s">
        <v>14</v>
      </c>
      <c r="J55" s="20" t="s">
        <v>14</v>
      </c>
      <c r="K55" s="20" t="s">
        <v>14</v>
      </c>
      <c r="L55" s="20" t="s">
        <v>14</v>
      </c>
      <c r="M55" s="20" t="s">
        <v>14</v>
      </c>
      <c r="N55" s="20" t="s">
        <v>14</v>
      </c>
      <c r="O55" s="20" t="s">
        <v>14</v>
      </c>
      <c r="P55" s="20" t="s">
        <v>14</v>
      </c>
      <c r="Q55" s="20" t="s">
        <v>14</v>
      </c>
      <c r="R55" s="20" t="s">
        <v>14</v>
      </c>
      <c r="S55" s="20" t="s">
        <v>14</v>
      </c>
      <c r="T55" s="20" t="s">
        <v>14</v>
      </c>
      <c r="U55" s="20" t="s">
        <v>14</v>
      </c>
    </row>
    <row r="56" spans="1:21" ht="12.6" customHeight="1">
      <c r="L56" s="20" t="s">
        <v>14</v>
      </c>
      <c r="M56" s="20" t="s">
        <v>14</v>
      </c>
      <c r="N56" s="20" t="s">
        <v>14</v>
      </c>
      <c r="O56" s="20" t="s">
        <v>14</v>
      </c>
      <c r="P56" s="20" t="s">
        <v>14</v>
      </c>
      <c r="Q56" s="20" t="s">
        <v>14</v>
      </c>
      <c r="R56" s="20" t="s">
        <v>14</v>
      </c>
      <c r="S56" s="20" t="s">
        <v>14</v>
      </c>
      <c r="T56" s="20" t="s">
        <v>14</v>
      </c>
      <c r="U56" s="20" t="s">
        <v>14</v>
      </c>
    </row>
    <row r="57" spans="1:21" s="26" customFormat="1" ht="12.6" customHeight="1">
      <c r="A57" s="119" t="s">
        <v>318</v>
      </c>
      <c r="B57" s="57"/>
      <c r="C57" s="36" t="s">
        <v>14</v>
      </c>
      <c r="D57" s="71" t="s">
        <v>14</v>
      </c>
      <c r="E57" s="36" t="s">
        <v>14</v>
      </c>
      <c r="F57" s="68" t="s">
        <v>14</v>
      </c>
      <c r="G57" s="41" t="s">
        <v>14</v>
      </c>
      <c r="H57" s="40" t="s">
        <v>14</v>
      </c>
      <c r="I57" s="36" t="s">
        <v>14</v>
      </c>
      <c r="J57" s="36" t="s">
        <v>14</v>
      </c>
      <c r="K57" s="36" t="s">
        <v>14</v>
      </c>
      <c r="L57" s="36" t="s">
        <v>14</v>
      </c>
      <c r="M57" s="36" t="s">
        <v>14</v>
      </c>
      <c r="N57" s="36" t="s">
        <v>14</v>
      </c>
      <c r="O57" s="36" t="s">
        <v>14</v>
      </c>
      <c r="P57" s="36" t="s">
        <v>14</v>
      </c>
      <c r="Q57" s="36" t="s">
        <v>14</v>
      </c>
      <c r="R57" s="36" t="s">
        <v>14</v>
      </c>
      <c r="S57" s="36" t="s">
        <v>14</v>
      </c>
      <c r="T57" s="36" t="s">
        <v>14</v>
      </c>
      <c r="U57" s="36" t="s">
        <v>14</v>
      </c>
    </row>
    <row r="58" spans="1:21" ht="12.6" customHeight="1">
      <c r="A58" s="80" t="s">
        <v>111</v>
      </c>
      <c r="B58" s="73" t="s">
        <v>617</v>
      </c>
      <c r="C58" s="95">
        <v>17</v>
      </c>
      <c r="D58" s="82">
        <v>3.5</v>
      </c>
      <c r="E58" s="81">
        <f t="shared" ref="E58:E64" si="9">1.6*C58</f>
        <v>27.200000000000003</v>
      </c>
      <c r="F58" s="83" t="s">
        <v>29</v>
      </c>
      <c r="G58" s="84">
        <v>0.25</v>
      </c>
      <c r="H58" s="85">
        <v>0.28999999999999998</v>
      </c>
      <c r="I58" s="81">
        <v>52</v>
      </c>
      <c r="J58" s="81">
        <v>70</v>
      </c>
      <c r="K58" s="86">
        <v>67</v>
      </c>
      <c r="L58" s="87">
        <f>AVERAGE(200,168,200,152,169,190,188,180,173)</f>
        <v>180</v>
      </c>
      <c r="M58" s="86" t="s">
        <v>1176</v>
      </c>
      <c r="N58" s="81">
        <f>AVERAGE(245,299,244,230,247,200,266,225,267,228,250)</f>
        <v>245.54545454545453</v>
      </c>
      <c r="O58" s="81" t="s">
        <v>1153</v>
      </c>
      <c r="P58" s="87">
        <v>175</v>
      </c>
      <c r="Q58" s="81" t="s">
        <v>999</v>
      </c>
      <c r="R58" s="86" t="s">
        <v>26</v>
      </c>
      <c r="S58" s="87" t="s">
        <v>14</v>
      </c>
      <c r="T58" s="81" t="s">
        <v>14</v>
      </c>
      <c r="U58" s="86" t="s">
        <v>14</v>
      </c>
    </row>
    <row r="59" spans="1:21" ht="12.6" customHeight="1">
      <c r="A59" s="80" t="s">
        <v>111</v>
      </c>
      <c r="B59" s="73" t="s">
        <v>433</v>
      </c>
      <c r="C59" s="95">
        <v>17</v>
      </c>
      <c r="D59" s="82">
        <v>3.5</v>
      </c>
      <c r="E59" s="81">
        <f t="shared" si="9"/>
        <v>27.200000000000003</v>
      </c>
      <c r="F59" s="83" t="s">
        <v>36</v>
      </c>
      <c r="G59" s="84">
        <v>0.25</v>
      </c>
      <c r="H59" s="85">
        <v>0.44</v>
      </c>
      <c r="I59" s="81">
        <v>65</v>
      </c>
      <c r="J59" s="81">
        <v>88</v>
      </c>
      <c r="K59" s="86">
        <v>77</v>
      </c>
      <c r="L59" s="81">
        <f>AVERAGE(220,243,259,255,199,200,233,255,225,299,280,319,300)</f>
        <v>252.84615384615384</v>
      </c>
      <c r="M59" s="86" t="s">
        <v>1153</v>
      </c>
      <c r="N59" s="81">
        <f>AVERAGE(280,350,320,340,358,400,371,375,350)</f>
        <v>349.33333333333331</v>
      </c>
      <c r="O59" s="81" t="s">
        <v>1118</v>
      </c>
      <c r="P59" s="87">
        <v>300</v>
      </c>
      <c r="Q59" s="81" t="s">
        <v>723</v>
      </c>
      <c r="R59" s="86" t="s">
        <v>28</v>
      </c>
      <c r="S59" s="87">
        <v>380</v>
      </c>
      <c r="T59" s="81" t="s">
        <v>228</v>
      </c>
      <c r="U59" s="86" t="s">
        <v>28</v>
      </c>
    </row>
    <row r="60" spans="1:21" ht="12.6" customHeight="1">
      <c r="A60" s="80" t="s">
        <v>111</v>
      </c>
      <c r="B60" s="73" t="s">
        <v>565</v>
      </c>
      <c r="C60" s="95">
        <v>90</v>
      </c>
      <c r="D60" s="82">
        <v>2.5</v>
      </c>
      <c r="E60" s="95">
        <f t="shared" si="9"/>
        <v>144</v>
      </c>
      <c r="F60" s="83" t="s">
        <v>29</v>
      </c>
      <c r="G60" s="84">
        <v>0.4</v>
      </c>
      <c r="H60" s="85">
        <v>0.53</v>
      </c>
      <c r="I60" s="81">
        <v>64</v>
      </c>
      <c r="J60" s="81">
        <v>80</v>
      </c>
      <c r="K60" s="86">
        <v>55</v>
      </c>
      <c r="L60" s="81">
        <f>AVERAGE(327,298,309,309,277,230,359,278,308,297,349,289)</f>
        <v>302.5</v>
      </c>
      <c r="M60" s="86" t="s">
        <v>1171</v>
      </c>
      <c r="N60" s="81">
        <f>AVERAGE(380,389,369,379,499,489,460,415,399)</f>
        <v>419.88888888888891</v>
      </c>
      <c r="O60" s="86" t="s">
        <v>1153</v>
      </c>
      <c r="P60" s="87" t="s">
        <v>14</v>
      </c>
      <c r="Q60" s="81" t="s">
        <v>14</v>
      </c>
      <c r="R60" s="86" t="s">
        <v>14</v>
      </c>
      <c r="S60" s="87" t="s">
        <v>14</v>
      </c>
      <c r="T60" s="81" t="s">
        <v>14</v>
      </c>
      <c r="U60" s="86" t="s">
        <v>14</v>
      </c>
    </row>
    <row r="61" spans="1:21" s="26" customFormat="1" ht="12.6" customHeight="1">
      <c r="A61" s="80" t="s">
        <v>111</v>
      </c>
      <c r="B61" s="73" t="s">
        <v>566</v>
      </c>
      <c r="C61" s="81">
        <v>100</v>
      </c>
      <c r="D61" s="82">
        <v>2.8</v>
      </c>
      <c r="E61" s="81">
        <f t="shared" si="9"/>
        <v>160</v>
      </c>
      <c r="F61" s="83" t="s">
        <v>36</v>
      </c>
      <c r="G61" s="84">
        <v>0.3</v>
      </c>
      <c r="H61" s="85">
        <v>0.54</v>
      </c>
      <c r="I61" s="81">
        <v>95</v>
      </c>
      <c r="J61" s="81">
        <v>73</v>
      </c>
      <c r="K61" s="86">
        <v>55</v>
      </c>
      <c r="L61" s="81">
        <f>AVERAGE(215,175,230,188,210,239,225,200,255,252)</f>
        <v>218.9</v>
      </c>
      <c r="M61" s="86" t="s">
        <v>1153</v>
      </c>
      <c r="N61" s="81">
        <f>AVERAGE(285,265,320,275,325,344,344,335)</f>
        <v>311.625</v>
      </c>
      <c r="O61" s="81" t="s">
        <v>1153</v>
      </c>
      <c r="P61" s="99" t="s">
        <v>616</v>
      </c>
      <c r="Q61" s="81" t="s">
        <v>619</v>
      </c>
      <c r="R61" s="100" t="s">
        <v>28</v>
      </c>
      <c r="S61" s="99" t="s">
        <v>615</v>
      </c>
      <c r="T61" s="81" t="s">
        <v>619</v>
      </c>
      <c r="U61" s="100" t="s">
        <v>28</v>
      </c>
    </row>
    <row r="62" spans="1:21" s="26" customFormat="1" ht="12.6" customHeight="1">
      <c r="A62" s="80" t="s">
        <v>111</v>
      </c>
      <c r="B62" s="73" t="s">
        <v>567</v>
      </c>
      <c r="C62" s="81">
        <v>300</v>
      </c>
      <c r="D62" s="82">
        <v>2.8</v>
      </c>
      <c r="E62" s="81">
        <f t="shared" si="9"/>
        <v>480</v>
      </c>
      <c r="F62" s="83" t="s">
        <v>36</v>
      </c>
      <c r="G62" s="84">
        <v>2.4</v>
      </c>
      <c r="H62" s="85">
        <v>2.2999999999999998</v>
      </c>
      <c r="I62" s="81">
        <v>187</v>
      </c>
      <c r="J62" s="81">
        <v>117</v>
      </c>
      <c r="K62" s="86">
        <v>112</v>
      </c>
      <c r="L62" s="81">
        <f>AVERAGE(785,799,925)</f>
        <v>836.33333333333337</v>
      </c>
      <c r="M62" s="86" t="s">
        <v>874</v>
      </c>
      <c r="N62" s="81">
        <f>AVERAGE(1233,1580,1535)</f>
        <v>1449.3333333333333</v>
      </c>
      <c r="O62" s="86" t="s">
        <v>657</v>
      </c>
      <c r="P62" s="99" t="s">
        <v>637</v>
      </c>
      <c r="Q62" s="81" t="s">
        <v>639</v>
      </c>
      <c r="R62" s="100" t="s">
        <v>28</v>
      </c>
      <c r="S62" s="101" t="s">
        <v>14</v>
      </c>
      <c r="T62" s="81" t="s">
        <v>14</v>
      </c>
      <c r="U62" s="100" t="s">
        <v>14</v>
      </c>
    </row>
    <row r="63" spans="1:21" s="26" customFormat="1" ht="12.6" customHeight="1">
      <c r="A63" s="80" t="s">
        <v>111</v>
      </c>
      <c r="B63" s="73" t="s">
        <v>568</v>
      </c>
      <c r="C63" s="81">
        <v>300</v>
      </c>
      <c r="D63" s="82">
        <v>2.8</v>
      </c>
      <c r="E63" s="81">
        <f t="shared" si="9"/>
        <v>480</v>
      </c>
      <c r="F63" s="83" t="s">
        <v>29</v>
      </c>
      <c r="G63" s="84" t="s">
        <v>14</v>
      </c>
      <c r="H63" s="85" t="s">
        <v>14</v>
      </c>
      <c r="I63" s="81" t="s">
        <v>14</v>
      </c>
      <c r="J63" s="81" t="s">
        <v>14</v>
      </c>
      <c r="K63" s="86" t="s">
        <v>14</v>
      </c>
      <c r="L63" s="81">
        <f>AVERAGE(385,233)</f>
        <v>309</v>
      </c>
      <c r="M63" s="86" t="s">
        <v>708</v>
      </c>
      <c r="N63" s="81">
        <f>AVERAGE(589,355,598,598,600)</f>
        <v>548</v>
      </c>
      <c r="O63" s="86" t="s">
        <v>1061</v>
      </c>
      <c r="P63" s="99" t="s">
        <v>947</v>
      </c>
      <c r="Q63" s="81" t="s">
        <v>951</v>
      </c>
      <c r="R63" s="100" t="s">
        <v>946</v>
      </c>
      <c r="S63" s="101" t="s">
        <v>14</v>
      </c>
      <c r="T63" s="81" t="s">
        <v>14</v>
      </c>
      <c r="U63" s="100" t="s">
        <v>14</v>
      </c>
    </row>
    <row r="64" spans="1:21" ht="12.6" customHeight="1">
      <c r="A64" s="88" t="s">
        <v>111</v>
      </c>
      <c r="B64" s="67" t="s">
        <v>795</v>
      </c>
      <c r="C64" s="89">
        <v>300</v>
      </c>
      <c r="D64" s="102">
        <v>4</v>
      </c>
      <c r="E64" s="89">
        <f t="shared" si="9"/>
        <v>480</v>
      </c>
      <c r="F64" s="90" t="s">
        <v>36</v>
      </c>
      <c r="G64" s="91" t="s">
        <v>14</v>
      </c>
      <c r="H64" s="92" t="s">
        <v>14</v>
      </c>
      <c r="I64" s="89" t="s">
        <v>14</v>
      </c>
      <c r="J64" s="89" t="s">
        <v>14</v>
      </c>
      <c r="K64" s="93" t="s">
        <v>14</v>
      </c>
      <c r="L64" s="89">
        <f>AVERAGE(268,328,328,301,350,340,350,364)</f>
        <v>328.625</v>
      </c>
      <c r="M64" s="93" t="s">
        <v>817</v>
      </c>
      <c r="N64" s="89">
        <f>AVERAGE(428,479,440,405,401)</f>
        <v>430.6</v>
      </c>
      <c r="O64" s="89" t="s">
        <v>657</v>
      </c>
      <c r="P64" s="94" t="s">
        <v>14</v>
      </c>
      <c r="Q64" s="89" t="s">
        <v>14</v>
      </c>
      <c r="R64" s="93" t="s">
        <v>14</v>
      </c>
      <c r="S64" s="94" t="s">
        <v>14</v>
      </c>
      <c r="T64" s="89" t="s">
        <v>14</v>
      </c>
      <c r="U64" s="93" t="s">
        <v>14</v>
      </c>
    </row>
    <row r="65" spans="1:21" ht="12.6" customHeight="1">
      <c r="A65" s="80" t="s">
        <v>111</v>
      </c>
      <c r="B65" s="73" t="s">
        <v>404</v>
      </c>
      <c r="C65" s="103" t="s">
        <v>405</v>
      </c>
      <c r="D65" s="82">
        <v>2.8</v>
      </c>
      <c r="E65" s="81" t="s">
        <v>406</v>
      </c>
      <c r="F65" s="83" t="s">
        <v>36</v>
      </c>
      <c r="G65" s="84">
        <v>0.28000000000000003</v>
      </c>
      <c r="H65" s="85">
        <v>0.95</v>
      </c>
      <c r="I65" s="81">
        <v>133.30000000000001</v>
      </c>
      <c r="J65" s="81">
        <v>90</v>
      </c>
      <c r="K65" s="86" t="s">
        <v>29</v>
      </c>
      <c r="L65" s="81">
        <f>AVERAGE(256,330,300,430,419,499,488,480,375)</f>
        <v>397.44444444444446</v>
      </c>
      <c r="M65" s="86" t="s">
        <v>1061</v>
      </c>
      <c r="N65" s="104">
        <f>AVERAGE(639,785,700)</f>
        <v>708</v>
      </c>
      <c r="O65" s="81" t="s">
        <v>657</v>
      </c>
      <c r="P65" s="99" t="s">
        <v>905</v>
      </c>
      <c r="Q65" s="81" t="s">
        <v>951</v>
      </c>
      <c r="R65" s="100" t="s">
        <v>948</v>
      </c>
      <c r="S65" s="99" t="s">
        <v>486</v>
      </c>
      <c r="T65" s="81" t="s">
        <v>483</v>
      </c>
      <c r="U65" s="100" t="s">
        <v>28</v>
      </c>
    </row>
    <row r="66" spans="1:21" ht="12.6" customHeight="1">
      <c r="A66" s="80" t="s">
        <v>111</v>
      </c>
      <c r="B66" s="73" t="s">
        <v>497</v>
      </c>
      <c r="C66" s="103" t="s">
        <v>44</v>
      </c>
      <c r="D66" s="82">
        <v>4</v>
      </c>
      <c r="E66" s="81" t="s">
        <v>45</v>
      </c>
      <c r="F66" s="83" t="s">
        <v>36</v>
      </c>
      <c r="G66" s="84">
        <v>0.27900000000000003</v>
      </c>
      <c r="H66" s="85">
        <v>0.6</v>
      </c>
      <c r="I66" s="81">
        <v>94</v>
      </c>
      <c r="J66" s="81">
        <v>88.9</v>
      </c>
      <c r="K66" s="86">
        <v>82</v>
      </c>
      <c r="L66" s="81">
        <f>AVERAGE(232,255,280,240,342)</f>
        <v>269.8</v>
      </c>
      <c r="M66" s="97" t="s">
        <v>670</v>
      </c>
      <c r="N66" s="81">
        <f>AVERAGE(290,379,399)</f>
        <v>356</v>
      </c>
      <c r="O66" s="95" t="s">
        <v>702</v>
      </c>
      <c r="P66" s="99" t="s">
        <v>14</v>
      </c>
      <c r="Q66" s="81" t="s">
        <v>14</v>
      </c>
      <c r="R66" s="100" t="s">
        <v>14</v>
      </c>
      <c r="S66" s="99" t="s">
        <v>14</v>
      </c>
      <c r="T66" s="81" t="s">
        <v>14</v>
      </c>
      <c r="U66" s="100" t="s">
        <v>14</v>
      </c>
    </row>
    <row r="67" spans="1:21" s="26" customFormat="1" ht="12.6" customHeight="1">
      <c r="A67" s="105" t="s">
        <v>111</v>
      </c>
      <c r="B67" s="106" t="s">
        <v>162</v>
      </c>
      <c r="C67" s="81" t="s">
        <v>48</v>
      </c>
      <c r="D67" s="82">
        <v>2.8</v>
      </c>
      <c r="E67" s="81" t="s">
        <v>49</v>
      </c>
      <c r="F67" s="83" t="s">
        <v>36</v>
      </c>
      <c r="G67" s="84">
        <v>0.52</v>
      </c>
      <c r="H67" s="85">
        <v>0.59</v>
      </c>
      <c r="I67" s="81">
        <v>86</v>
      </c>
      <c r="J67" s="81">
        <v>84</v>
      </c>
      <c r="K67" s="86">
        <v>77</v>
      </c>
      <c r="L67" s="81">
        <f>AVERAGE(176,182,183)</f>
        <v>180.33333333333334</v>
      </c>
      <c r="M67" s="86" t="s">
        <v>723</v>
      </c>
      <c r="N67" s="81">
        <f>AVERAGE(230,350,317,279)</f>
        <v>294</v>
      </c>
      <c r="O67" s="81" t="s">
        <v>874</v>
      </c>
      <c r="P67" s="87">
        <v>275</v>
      </c>
      <c r="Q67" s="81" t="s">
        <v>577</v>
      </c>
      <c r="R67" s="86" t="s">
        <v>28</v>
      </c>
      <c r="S67" s="87" t="s">
        <v>14</v>
      </c>
      <c r="T67" s="81" t="s">
        <v>14</v>
      </c>
      <c r="U67" s="86" t="s">
        <v>14</v>
      </c>
    </row>
    <row r="68" spans="1:21" s="26" customFormat="1" ht="12.6" customHeight="1">
      <c r="A68" s="73" t="s">
        <v>111</v>
      </c>
      <c r="B68" s="46" t="s">
        <v>230</v>
      </c>
      <c r="C68" s="9" t="s">
        <v>112</v>
      </c>
      <c r="D68" s="10">
        <v>2.8</v>
      </c>
      <c r="E68" s="50" t="s">
        <v>472</v>
      </c>
      <c r="F68" s="9" t="s">
        <v>29</v>
      </c>
      <c r="G68" s="75">
        <v>0.4</v>
      </c>
      <c r="H68" s="76">
        <v>0.505</v>
      </c>
      <c r="I68" s="9">
        <v>79</v>
      </c>
      <c r="J68" s="9">
        <v>75</v>
      </c>
      <c r="K68" s="10">
        <v>72</v>
      </c>
      <c r="L68" s="65">
        <f>AVERAGE(104,98,135,147,130,139)</f>
        <v>125.5</v>
      </c>
      <c r="M68" s="25" t="s">
        <v>1091</v>
      </c>
      <c r="N68" s="65">
        <f>AVERAGE(124,150,180,177,197,135,176)</f>
        <v>162.71428571428572</v>
      </c>
      <c r="O68" s="118" t="s">
        <v>1061</v>
      </c>
      <c r="P68" s="65">
        <v>140</v>
      </c>
      <c r="Q68" s="25" t="s">
        <v>476</v>
      </c>
      <c r="R68" s="50" t="s">
        <v>30</v>
      </c>
      <c r="S68" s="65" t="s">
        <v>14</v>
      </c>
      <c r="T68" s="25" t="s">
        <v>14</v>
      </c>
      <c r="U68" s="50" t="s">
        <v>14</v>
      </c>
    </row>
    <row r="69" spans="1:21" ht="11.25" customHeight="1">
      <c r="A69" s="80" t="s">
        <v>111</v>
      </c>
      <c r="B69" s="73" t="s">
        <v>163</v>
      </c>
      <c r="C69" s="95" t="s">
        <v>54</v>
      </c>
      <c r="D69" s="82">
        <v>2.8</v>
      </c>
      <c r="E69" s="95" t="s">
        <v>91</v>
      </c>
      <c r="F69" s="83" t="s">
        <v>36</v>
      </c>
      <c r="G69" s="84">
        <v>0.7</v>
      </c>
      <c r="H69" s="85">
        <v>0.72</v>
      </c>
      <c r="I69" s="81">
        <v>108</v>
      </c>
      <c r="J69" s="81">
        <v>84</v>
      </c>
      <c r="K69" s="86">
        <v>77</v>
      </c>
      <c r="L69" s="87">
        <f>AVERAGE(130,235,225,210,199,260,229,190,185,187,249,225,215,200)</f>
        <v>209.92857142857142</v>
      </c>
      <c r="M69" s="107" t="s">
        <v>1061</v>
      </c>
      <c r="N69" s="81">
        <f>AVERAGE(250,240,365,398,304,315,330)</f>
        <v>314.57142857142856</v>
      </c>
      <c r="O69" s="85" t="s">
        <v>817</v>
      </c>
      <c r="P69" s="87">
        <v>257</v>
      </c>
      <c r="Q69" s="85" t="s">
        <v>918</v>
      </c>
      <c r="R69" s="107" t="s">
        <v>28</v>
      </c>
      <c r="S69" s="87" t="s">
        <v>14</v>
      </c>
      <c r="T69" s="85" t="s">
        <v>14</v>
      </c>
      <c r="U69" s="107" t="s">
        <v>14</v>
      </c>
    </row>
    <row r="70" spans="1:21" ht="12.6" customHeight="1">
      <c r="A70" s="80" t="s">
        <v>111</v>
      </c>
      <c r="B70" s="73" t="s">
        <v>216</v>
      </c>
      <c r="C70" s="95" t="s">
        <v>54</v>
      </c>
      <c r="D70" s="82" t="s">
        <v>113</v>
      </c>
      <c r="E70" s="95" t="s">
        <v>91</v>
      </c>
      <c r="F70" s="83" t="s">
        <v>36</v>
      </c>
      <c r="G70" s="84">
        <v>0.7</v>
      </c>
      <c r="H70" s="85">
        <v>0.75</v>
      </c>
      <c r="I70" s="81">
        <v>107</v>
      </c>
      <c r="J70" s="81">
        <v>79</v>
      </c>
      <c r="K70" s="86">
        <v>77</v>
      </c>
      <c r="L70" s="81">
        <f>AVERAGE(270,258,213,272)</f>
        <v>253.25</v>
      </c>
      <c r="M70" s="86" t="s">
        <v>619</v>
      </c>
      <c r="N70" s="81">
        <f>AVERAGE(300)</f>
        <v>300</v>
      </c>
      <c r="O70" s="85" t="s">
        <v>918</v>
      </c>
      <c r="P70" s="87">
        <v>310</v>
      </c>
      <c r="Q70" s="85" t="s">
        <v>577</v>
      </c>
      <c r="R70" s="107" t="s">
        <v>28</v>
      </c>
      <c r="S70" s="87" t="s">
        <v>14</v>
      </c>
      <c r="T70" s="85" t="s">
        <v>14</v>
      </c>
      <c r="U70" s="107" t="s">
        <v>14</v>
      </c>
    </row>
    <row r="71" spans="1:21" ht="12.6" customHeight="1">
      <c r="A71" s="80" t="s">
        <v>111</v>
      </c>
      <c r="B71" s="73" t="s">
        <v>164</v>
      </c>
      <c r="C71" s="95" t="s">
        <v>56</v>
      </c>
      <c r="D71" s="82">
        <v>2.8</v>
      </c>
      <c r="E71" s="95" t="s">
        <v>58</v>
      </c>
      <c r="F71" s="83" t="s">
        <v>36</v>
      </c>
      <c r="G71" s="84">
        <v>0.5</v>
      </c>
      <c r="H71" s="85">
        <v>0.82</v>
      </c>
      <c r="I71" s="81">
        <v>120</v>
      </c>
      <c r="J71" s="81">
        <v>84</v>
      </c>
      <c r="K71" s="86">
        <v>77</v>
      </c>
      <c r="L71" s="81">
        <f>AVERAGE(238,255,221,289,270,275)</f>
        <v>258</v>
      </c>
      <c r="M71" s="86" t="s">
        <v>723</v>
      </c>
      <c r="N71" s="81">
        <f>AVERAGE(292,339,350,368,368,320)</f>
        <v>339.5</v>
      </c>
      <c r="O71" s="85" t="s">
        <v>874</v>
      </c>
      <c r="P71" s="87">
        <v>245</v>
      </c>
      <c r="Q71" s="85" t="s">
        <v>577</v>
      </c>
      <c r="R71" s="107" t="s">
        <v>28</v>
      </c>
      <c r="S71" s="87" t="s">
        <v>14</v>
      </c>
      <c r="T71" s="85" t="s">
        <v>14</v>
      </c>
      <c r="U71" s="107" t="s">
        <v>14</v>
      </c>
    </row>
    <row r="72" spans="1:21" ht="12.6" customHeight="1">
      <c r="A72" s="80" t="s">
        <v>111</v>
      </c>
      <c r="B72" s="73" t="s">
        <v>165</v>
      </c>
      <c r="C72" s="95" t="s">
        <v>61</v>
      </c>
      <c r="D72" s="82">
        <v>2.8</v>
      </c>
      <c r="E72" s="95" t="s">
        <v>62</v>
      </c>
      <c r="F72" s="83" t="s">
        <v>36</v>
      </c>
      <c r="G72" s="84">
        <v>1.8</v>
      </c>
      <c r="H72" s="85">
        <v>1.35</v>
      </c>
      <c r="I72" s="81">
        <v>184</v>
      </c>
      <c r="J72" s="81">
        <v>84</v>
      </c>
      <c r="K72" s="86">
        <v>77</v>
      </c>
      <c r="L72" s="87">
        <f>AVERAGE(295,378,355,213,345,400,350,438,305)</f>
        <v>342.11111111111109</v>
      </c>
      <c r="M72" s="97" t="s">
        <v>1002</v>
      </c>
      <c r="N72" s="81">
        <f>AVERAGE(400,515,620,530,600,525,510)</f>
        <v>528.57142857142856</v>
      </c>
      <c r="O72" s="25" t="s">
        <v>672</v>
      </c>
      <c r="P72" s="99" t="s">
        <v>638</v>
      </c>
      <c r="Q72" s="81" t="s">
        <v>639</v>
      </c>
      <c r="R72" s="100" t="s">
        <v>31</v>
      </c>
      <c r="S72" s="99" t="s">
        <v>14</v>
      </c>
      <c r="T72" s="81" t="s">
        <v>14</v>
      </c>
      <c r="U72" s="100" t="s">
        <v>14</v>
      </c>
    </row>
    <row r="73" spans="1:21" ht="12.6" customHeight="1">
      <c r="A73" s="80" t="s">
        <v>111</v>
      </c>
      <c r="B73" s="73" t="s">
        <v>716</v>
      </c>
      <c r="C73" s="95" t="s">
        <v>72</v>
      </c>
      <c r="D73" s="82">
        <v>4</v>
      </c>
      <c r="E73" s="95" t="s">
        <v>225</v>
      </c>
      <c r="F73" s="83" t="s">
        <v>36</v>
      </c>
      <c r="G73" s="84">
        <v>2</v>
      </c>
      <c r="H73" s="85">
        <v>1.52</v>
      </c>
      <c r="I73" s="81">
        <v>228.6</v>
      </c>
      <c r="J73" s="81">
        <v>81.3</v>
      </c>
      <c r="K73" s="86">
        <v>77</v>
      </c>
      <c r="L73" s="87">
        <f>AVERAGE(279,189,200)</f>
        <v>222.66666666666666</v>
      </c>
      <c r="M73" s="97" t="s">
        <v>1118</v>
      </c>
      <c r="N73" s="81">
        <f>AVERAGE(375,400,300)</f>
        <v>358.33333333333331</v>
      </c>
      <c r="O73" s="25" t="s">
        <v>674</v>
      </c>
      <c r="P73" s="99">
        <v>295</v>
      </c>
      <c r="Q73" s="81" t="s">
        <v>476</v>
      </c>
      <c r="R73" s="100" t="s">
        <v>456</v>
      </c>
      <c r="S73" s="99" t="s">
        <v>14</v>
      </c>
      <c r="T73" s="81" t="s">
        <v>14</v>
      </c>
      <c r="U73" s="100" t="s">
        <v>14</v>
      </c>
    </row>
    <row r="74" spans="1:21" ht="12.6" customHeight="1">
      <c r="A74" s="88" t="s">
        <v>111</v>
      </c>
      <c r="B74" s="67" t="s">
        <v>659</v>
      </c>
      <c r="C74" s="89" t="s">
        <v>242</v>
      </c>
      <c r="D74" s="102">
        <v>5.6</v>
      </c>
      <c r="E74" s="89" t="s">
        <v>243</v>
      </c>
      <c r="F74" s="90" t="s">
        <v>29</v>
      </c>
      <c r="G74" s="91">
        <v>3.1</v>
      </c>
      <c r="H74" s="92">
        <v>2.2400000000000002</v>
      </c>
      <c r="I74" s="89">
        <v>314</v>
      </c>
      <c r="J74" s="89">
        <v>104</v>
      </c>
      <c r="K74" s="93">
        <v>95</v>
      </c>
      <c r="L74" s="94">
        <f>AVERAGE(249,239,228,150,228,234,219,229)</f>
        <v>222</v>
      </c>
      <c r="M74" s="93" t="s">
        <v>924</v>
      </c>
      <c r="N74" s="89">
        <f>AVERAGE(450,298,345,298,299,280,335,294,290)</f>
        <v>321</v>
      </c>
      <c r="O74" s="93" t="s">
        <v>1110</v>
      </c>
      <c r="P74" s="94" t="s">
        <v>14</v>
      </c>
      <c r="Q74" s="89" t="s">
        <v>14</v>
      </c>
      <c r="R74" s="93" t="s">
        <v>14</v>
      </c>
      <c r="S74" s="94">
        <v>450</v>
      </c>
      <c r="T74" s="89" t="s">
        <v>681</v>
      </c>
      <c r="U74" s="93" t="s">
        <v>30</v>
      </c>
    </row>
    <row r="75" spans="1:21" ht="12.6" customHeight="1">
      <c r="L75" s="20" t="s">
        <v>14</v>
      </c>
      <c r="M75" s="20" t="s">
        <v>14</v>
      </c>
      <c r="N75" s="20" t="s">
        <v>14</v>
      </c>
      <c r="O75" s="20" t="s">
        <v>14</v>
      </c>
      <c r="P75" s="20" t="s">
        <v>14</v>
      </c>
      <c r="Q75" s="20" t="s">
        <v>14</v>
      </c>
      <c r="R75" s="20" t="s">
        <v>14</v>
      </c>
      <c r="S75" s="20" t="s">
        <v>14</v>
      </c>
      <c r="T75" s="20" t="s">
        <v>14</v>
      </c>
      <c r="U75" s="20" t="s">
        <v>14</v>
      </c>
    </row>
    <row r="76" spans="1:21" s="26" customFormat="1" ht="12.6" customHeight="1">
      <c r="A76" s="137" t="s">
        <v>317</v>
      </c>
      <c r="B76" s="130"/>
      <c r="C76" s="43" t="s">
        <v>14</v>
      </c>
      <c r="D76" s="131" t="s">
        <v>14</v>
      </c>
      <c r="E76" s="43" t="s">
        <v>14</v>
      </c>
      <c r="F76" s="135" t="s">
        <v>14</v>
      </c>
      <c r="G76" s="138" t="s">
        <v>14</v>
      </c>
      <c r="H76" s="134" t="s">
        <v>14</v>
      </c>
      <c r="I76" s="43" t="s">
        <v>14</v>
      </c>
      <c r="J76" s="43" t="s">
        <v>14</v>
      </c>
      <c r="K76" s="43" t="s">
        <v>14</v>
      </c>
      <c r="L76" s="43" t="s">
        <v>14</v>
      </c>
      <c r="M76" s="43" t="s">
        <v>14</v>
      </c>
      <c r="N76" s="43" t="s">
        <v>14</v>
      </c>
      <c r="O76" s="43" t="s">
        <v>14</v>
      </c>
      <c r="P76" s="43" t="s">
        <v>14</v>
      </c>
      <c r="Q76" s="43" t="s">
        <v>14</v>
      </c>
      <c r="R76" s="43" t="s">
        <v>14</v>
      </c>
      <c r="S76" s="43" t="s">
        <v>14</v>
      </c>
      <c r="T76" s="43" t="s">
        <v>14</v>
      </c>
      <c r="U76" s="43" t="s">
        <v>14</v>
      </c>
    </row>
    <row r="77" spans="1:21" ht="12.6" customHeight="1">
      <c r="A77" s="80" t="s">
        <v>103</v>
      </c>
      <c r="B77" s="73" t="s">
        <v>310</v>
      </c>
      <c r="C77" s="81">
        <v>14</v>
      </c>
      <c r="D77" s="82">
        <v>2.8</v>
      </c>
      <c r="E77" s="81">
        <f t="shared" ref="E77:E94" si="10">1.6*C77</f>
        <v>22.400000000000002</v>
      </c>
      <c r="F77" s="83" t="s">
        <v>36</v>
      </c>
      <c r="G77" s="84">
        <v>0.2</v>
      </c>
      <c r="H77" s="85">
        <v>0.66</v>
      </c>
      <c r="I77" s="81">
        <v>89</v>
      </c>
      <c r="J77" s="81">
        <v>87</v>
      </c>
      <c r="K77" s="86" t="s">
        <v>37</v>
      </c>
      <c r="L77" s="81">
        <f>AVERAGE(259,320,300,392,390,350,395,419)</f>
        <v>353.125</v>
      </c>
      <c r="M77" s="86" t="s">
        <v>892</v>
      </c>
      <c r="N77" s="212">
        <f>AVERAGE(447)</f>
        <v>447</v>
      </c>
      <c r="O77" s="81" t="s">
        <v>619</v>
      </c>
      <c r="P77" s="87">
        <v>465</v>
      </c>
      <c r="Q77" s="81" t="s">
        <v>708</v>
      </c>
      <c r="R77" s="86" t="s">
        <v>456</v>
      </c>
      <c r="S77" s="214">
        <v>500</v>
      </c>
      <c r="T77" s="215" t="s">
        <v>574</v>
      </c>
      <c r="U77" s="216" t="s">
        <v>573</v>
      </c>
    </row>
    <row r="78" spans="1:21" ht="12.6" customHeight="1">
      <c r="A78" s="80" t="s">
        <v>103</v>
      </c>
      <c r="B78" s="73" t="s">
        <v>365</v>
      </c>
      <c r="C78" s="81">
        <v>17</v>
      </c>
      <c r="D78" s="82">
        <v>3.5</v>
      </c>
      <c r="E78" s="81">
        <f t="shared" si="10"/>
        <v>27.200000000000003</v>
      </c>
      <c r="F78" s="83" t="s">
        <v>104</v>
      </c>
      <c r="G78" s="84">
        <v>0.25</v>
      </c>
      <c r="H78" s="85">
        <v>0.27</v>
      </c>
      <c r="I78" s="81">
        <v>45</v>
      </c>
      <c r="J78" s="81">
        <v>70</v>
      </c>
      <c r="K78" s="86" t="s">
        <v>329</v>
      </c>
      <c r="L78" s="87">
        <f>AVERAGE(139,153,139,133,210,143,158,168,160)</f>
        <v>155.88888888888889</v>
      </c>
      <c r="M78" s="86" t="s">
        <v>881</v>
      </c>
      <c r="N78" s="81">
        <f>AVERAGE(174,190,219,238,247,213,205)</f>
        <v>212.28571428571428</v>
      </c>
      <c r="O78" s="86" t="s">
        <v>817</v>
      </c>
      <c r="P78" s="87">
        <f>229*CA.US</f>
        <v>174.04</v>
      </c>
      <c r="Q78" s="81" t="s">
        <v>881</v>
      </c>
      <c r="R78" s="86" t="s">
        <v>537</v>
      </c>
      <c r="S78" s="87">
        <f>275*CA.US</f>
        <v>209</v>
      </c>
      <c r="T78" s="81" t="s">
        <v>953</v>
      </c>
      <c r="U78" s="86" t="s">
        <v>327</v>
      </c>
    </row>
    <row r="79" spans="1:21" s="26" customFormat="1" ht="12.6" customHeight="1">
      <c r="A79" s="73" t="s">
        <v>103</v>
      </c>
      <c r="B79" s="46" t="s">
        <v>364</v>
      </c>
      <c r="C79" s="9">
        <v>17</v>
      </c>
      <c r="D79" s="10">
        <v>3.5</v>
      </c>
      <c r="E79" s="50">
        <f t="shared" si="10"/>
        <v>27.200000000000003</v>
      </c>
      <c r="F79" s="9" t="s">
        <v>104</v>
      </c>
      <c r="G79" s="75">
        <v>0.25</v>
      </c>
      <c r="H79" s="76">
        <v>0.27</v>
      </c>
      <c r="I79" s="9">
        <v>48</v>
      </c>
      <c r="J79" s="9">
        <v>71</v>
      </c>
      <c r="K79" s="10" t="s">
        <v>329</v>
      </c>
      <c r="L79" s="65">
        <f>AVERAGE(180,126,200,155,210,168,203,179,158,184,194,222)</f>
        <v>181.58333333333334</v>
      </c>
      <c r="M79" s="25" t="s">
        <v>925</v>
      </c>
      <c r="N79" s="65">
        <f>AVERAGE(260,250,271,250,268,285,260,255,252,275,203)</f>
        <v>257.18181818181819</v>
      </c>
      <c r="O79" s="118" t="s">
        <v>1061</v>
      </c>
      <c r="P79" s="65">
        <f>269*CA.US</f>
        <v>204.44</v>
      </c>
      <c r="Q79" s="25" t="s">
        <v>813</v>
      </c>
      <c r="R79" s="50" t="s">
        <v>537</v>
      </c>
      <c r="S79" s="65">
        <v>265</v>
      </c>
      <c r="T79" s="25" t="s">
        <v>457</v>
      </c>
      <c r="U79" s="50" t="s">
        <v>28</v>
      </c>
    </row>
    <row r="80" spans="1:21" ht="12.6" customHeight="1">
      <c r="A80" s="80" t="s">
        <v>103</v>
      </c>
      <c r="B80" s="73" t="s">
        <v>715</v>
      </c>
      <c r="C80" s="81">
        <v>35</v>
      </c>
      <c r="D80" s="82">
        <v>1.8</v>
      </c>
      <c r="E80" s="81">
        <f t="shared" si="10"/>
        <v>56</v>
      </c>
      <c r="F80" s="83" t="s">
        <v>36</v>
      </c>
      <c r="G80" s="84">
        <v>0.2</v>
      </c>
      <c r="H80" s="85">
        <v>0.48</v>
      </c>
      <c r="I80" s="81">
        <v>80.8</v>
      </c>
      <c r="J80" s="81">
        <v>80.400000000000006</v>
      </c>
      <c r="K80" s="86">
        <v>67</v>
      </c>
      <c r="L80" s="81">
        <f>AVERAGE(431,370,406,410)</f>
        <v>404.25</v>
      </c>
      <c r="M80" s="86" t="s">
        <v>1171</v>
      </c>
      <c r="N80" s="20">
        <f>AVERAGE(460,460)</f>
        <v>460</v>
      </c>
      <c r="O80" s="81" t="s">
        <v>918</v>
      </c>
      <c r="P80" s="87" t="s">
        <v>14</v>
      </c>
      <c r="Q80" s="81" t="s">
        <v>14</v>
      </c>
      <c r="R80" s="86" t="s">
        <v>14</v>
      </c>
      <c r="S80" s="87">
        <f>695*CA.US</f>
        <v>528.20000000000005</v>
      </c>
      <c r="T80" s="81" t="s">
        <v>1061</v>
      </c>
      <c r="U80" s="86" t="s">
        <v>873</v>
      </c>
    </row>
    <row r="81" spans="1:21" ht="12.6" customHeight="1">
      <c r="A81" s="80" t="s">
        <v>103</v>
      </c>
      <c r="B81" s="73" t="s">
        <v>706</v>
      </c>
      <c r="C81" s="81">
        <v>45</v>
      </c>
      <c r="D81" s="82">
        <v>1.8</v>
      </c>
      <c r="E81" s="81">
        <f t="shared" si="10"/>
        <v>72</v>
      </c>
      <c r="F81" s="83" t="s">
        <v>36</v>
      </c>
      <c r="G81" s="84">
        <v>0.28999999999999998</v>
      </c>
      <c r="H81" s="85">
        <v>0.54400000000000004</v>
      </c>
      <c r="I81" s="81">
        <v>91.4</v>
      </c>
      <c r="J81" s="81">
        <v>80.400000000000006</v>
      </c>
      <c r="K81" s="86">
        <v>67</v>
      </c>
      <c r="L81" s="81">
        <f>AVERAGE(329)</f>
        <v>329</v>
      </c>
      <c r="M81" s="86" t="s">
        <v>918</v>
      </c>
      <c r="N81" s="104">
        <f>AVERAGE(399,399,389)</f>
        <v>395.66666666666669</v>
      </c>
      <c r="O81" s="81" t="s">
        <v>1091</v>
      </c>
      <c r="P81" s="87" t="s">
        <v>14</v>
      </c>
      <c r="Q81" s="81" t="s">
        <v>14</v>
      </c>
      <c r="R81" s="86" t="s">
        <v>14</v>
      </c>
      <c r="S81" s="87">
        <v>450</v>
      </c>
      <c r="T81" s="81" t="s">
        <v>723</v>
      </c>
      <c r="U81" s="86" t="s">
        <v>31</v>
      </c>
    </row>
    <row r="82" spans="1:21" ht="12.6" customHeight="1">
      <c r="A82" s="80" t="s">
        <v>103</v>
      </c>
      <c r="B82" s="73" t="s">
        <v>809</v>
      </c>
      <c r="C82" s="81">
        <v>85</v>
      </c>
      <c r="D82" s="82">
        <v>1.8</v>
      </c>
      <c r="E82" s="81">
        <f t="shared" si="10"/>
        <v>136</v>
      </c>
      <c r="F82" s="83" t="s">
        <v>36</v>
      </c>
      <c r="G82" s="84">
        <v>0.8</v>
      </c>
      <c r="H82" s="85">
        <v>0.7</v>
      </c>
      <c r="I82" s="81">
        <v>91</v>
      </c>
      <c r="J82" s="81">
        <v>85</v>
      </c>
      <c r="K82" s="86">
        <v>67</v>
      </c>
      <c r="L82" s="81">
        <f>AVERAGE(565,630)</f>
        <v>597.5</v>
      </c>
      <c r="M82" s="86" t="s">
        <v>1153</v>
      </c>
      <c r="N82" s="104">
        <f>AVERAGE(749,749,749)</f>
        <v>749</v>
      </c>
      <c r="O82" s="81" t="s">
        <v>874</v>
      </c>
      <c r="P82" s="87" t="s">
        <v>14</v>
      </c>
      <c r="Q82" s="81" t="s">
        <v>14</v>
      </c>
      <c r="R82" s="86" t="s">
        <v>14</v>
      </c>
      <c r="S82" s="87" t="s">
        <v>14</v>
      </c>
      <c r="T82" s="81" t="s">
        <v>14</v>
      </c>
      <c r="U82" s="86" t="s">
        <v>14</v>
      </c>
    </row>
    <row r="83" spans="1:21" ht="12.6" customHeight="1">
      <c r="A83" s="80" t="s">
        <v>103</v>
      </c>
      <c r="B83" s="73" t="s">
        <v>514</v>
      </c>
      <c r="C83" s="81">
        <v>90</v>
      </c>
      <c r="D83" s="82">
        <v>2.5</v>
      </c>
      <c r="E83" s="81">
        <f t="shared" si="10"/>
        <v>144</v>
      </c>
      <c r="F83" s="83" t="s">
        <v>104</v>
      </c>
      <c r="G83" s="84">
        <v>0.39</v>
      </c>
      <c r="H83" s="85">
        <v>0.41</v>
      </c>
      <c r="I83" s="81">
        <v>102</v>
      </c>
      <c r="J83" s="81">
        <v>68</v>
      </c>
      <c r="K83" s="86">
        <v>55</v>
      </c>
      <c r="L83" s="87">
        <f>AVERAGE(128,130,124,140,131,135,129,126,130)</f>
        <v>130.33333333333334</v>
      </c>
      <c r="M83" s="86" t="s">
        <v>874</v>
      </c>
      <c r="N83" s="81">
        <f>AVERAGE(286,295,199)</f>
        <v>260</v>
      </c>
      <c r="O83" s="81" t="s">
        <v>681</v>
      </c>
      <c r="P83" s="87">
        <v>130</v>
      </c>
      <c r="Q83" s="81" t="s">
        <v>681</v>
      </c>
      <c r="R83" s="86" t="s">
        <v>31</v>
      </c>
      <c r="S83" s="65">
        <v>225</v>
      </c>
      <c r="T83" s="9" t="s">
        <v>639</v>
      </c>
      <c r="U83" s="50" t="s">
        <v>33</v>
      </c>
    </row>
    <row r="84" spans="1:21" ht="12.6" customHeight="1">
      <c r="A84" s="80" t="s">
        <v>103</v>
      </c>
      <c r="B84" s="73" t="s">
        <v>810</v>
      </c>
      <c r="C84" s="81">
        <v>90</v>
      </c>
      <c r="D84" s="82">
        <v>2.8</v>
      </c>
      <c r="E84" s="81">
        <f t="shared" si="10"/>
        <v>144</v>
      </c>
      <c r="F84" s="83" t="s">
        <v>36</v>
      </c>
      <c r="G84" s="84">
        <v>0.28999999999999998</v>
      </c>
      <c r="H84" s="85">
        <v>0.4</v>
      </c>
      <c r="I84" s="81">
        <v>97</v>
      </c>
      <c r="J84" s="81">
        <v>71</v>
      </c>
      <c r="K84" s="86">
        <v>55</v>
      </c>
      <c r="L84" s="87">
        <f>AVERAGE(190,180,158,164,175,125,182,187,167,180)</f>
        <v>170.8</v>
      </c>
      <c r="M84" s="86" t="s">
        <v>1061</v>
      </c>
      <c r="N84" s="81">
        <f>AVERAGE(179,200)</f>
        <v>189.5</v>
      </c>
      <c r="O84" s="81" t="s">
        <v>1091</v>
      </c>
      <c r="P84" s="87">
        <v>240</v>
      </c>
      <c r="Q84" s="81" t="s">
        <v>918</v>
      </c>
      <c r="R84" s="86" t="s">
        <v>28</v>
      </c>
      <c r="S84" s="65">
        <f>CA.US*275</f>
        <v>209</v>
      </c>
      <c r="T84" s="9" t="s">
        <v>1153</v>
      </c>
      <c r="U84" s="50" t="s">
        <v>327</v>
      </c>
    </row>
    <row r="85" spans="1:21" ht="12.6" customHeight="1">
      <c r="A85" s="80" t="s">
        <v>103</v>
      </c>
      <c r="B85" s="73" t="s">
        <v>811</v>
      </c>
      <c r="C85" s="81">
        <v>90</v>
      </c>
      <c r="D85" s="82">
        <v>2.8</v>
      </c>
      <c r="E85" s="81">
        <f t="shared" si="10"/>
        <v>144</v>
      </c>
      <c r="F85" s="83" t="s">
        <v>36</v>
      </c>
      <c r="G85" s="84">
        <v>0.3</v>
      </c>
      <c r="H85" s="85">
        <v>0.55000000000000004</v>
      </c>
      <c r="I85" s="81">
        <v>114.5</v>
      </c>
      <c r="J85" s="81">
        <v>76.400000000000006</v>
      </c>
      <c r="K85" s="86">
        <v>58</v>
      </c>
      <c r="L85" s="87">
        <f>AVERAGE(325,345,339,347)</f>
        <v>339</v>
      </c>
      <c r="M85" s="86" t="s">
        <v>952</v>
      </c>
      <c r="N85" s="104">
        <f>AVERAGE(300)</f>
        <v>300</v>
      </c>
      <c r="O85" s="81" t="s">
        <v>1091</v>
      </c>
      <c r="P85" s="87">
        <v>525</v>
      </c>
      <c r="Q85" s="81" t="s">
        <v>708</v>
      </c>
      <c r="R85" s="86" t="s">
        <v>31</v>
      </c>
      <c r="S85" s="65">
        <v>500</v>
      </c>
      <c r="T85" s="9" t="s">
        <v>951</v>
      </c>
      <c r="U85" s="50" t="s">
        <v>946</v>
      </c>
    </row>
    <row r="86" spans="1:21" ht="12.6" customHeight="1">
      <c r="A86" s="88" t="s">
        <v>103</v>
      </c>
      <c r="B86" s="67" t="s">
        <v>812</v>
      </c>
      <c r="C86" s="89">
        <v>90</v>
      </c>
      <c r="D86" s="102">
        <v>2.8</v>
      </c>
      <c r="E86" s="89">
        <f t="shared" si="10"/>
        <v>144</v>
      </c>
      <c r="F86" s="90" t="s">
        <v>36</v>
      </c>
      <c r="G86" s="91">
        <v>0.3</v>
      </c>
      <c r="H86" s="92">
        <v>0.6</v>
      </c>
      <c r="I86" s="89">
        <v>117</v>
      </c>
      <c r="J86" s="89">
        <v>79</v>
      </c>
      <c r="K86" s="93">
        <v>62</v>
      </c>
      <c r="L86" s="94">
        <f>AVERAGE(345,339,347)</f>
        <v>343.66666666666669</v>
      </c>
      <c r="M86" s="93" t="s">
        <v>723</v>
      </c>
      <c r="N86" s="89">
        <f>AVERAGE(360,497,415,440)</f>
        <v>428</v>
      </c>
      <c r="O86" s="89" t="s">
        <v>925</v>
      </c>
      <c r="P86" s="94">
        <v>525</v>
      </c>
      <c r="Q86" s="89" t="s">
        <v>708</v>
      </c>
      <c r="R86" s="93" t="s">
        <v>31</v>
      </c>
      <c r="S86" s="94">
        <v>750</v>
      </c>
      <c r="T86" s="89" t="s">
        <v>708</v>
      </c>
      <c r="U86" s="93" t="s">
        <v>30</v>
      </c>
    </row>
    <row r="87" spans="1:21" ht="12.6" customHeight="1">
      <c r="A87" s="80" t="s">
        <v>103</v>
      </c>
      <c r="B87" s="73" t="s">
        <v>170</v>
      </c>
      <c r="C87" s="81">
        <v>180</v>
      </c>
      <c r="D87" s="82">
        <v>2.5</v>
      </c>
      <c r="E87" s="81">
        <f t="shared" si="10"/>
        <v>288</v>
      </c>
      <c r="F87" s="83" t="s">
        <v>104</v>
      </c>
      <c r="G87" s="84">
        <v>1.2</v>
      </c>
      <c r="H87" s="85">
        <v>0.87</v>
      </c>
      <c r="I87" s="81">
        <v>120</v>
      </c>
      <c r="J87" s="81">
        <v>82</v>
      </c>
      <c r="K87" s="86">
        <v>77</v>
      </c>
      <c r="L87" s="81">
        <f>AVERAGE(329,450,395)</f>
        <v>391.33333333333331</v>
      </c>
      <c r="M87" s="86" t="s">
        <v>1171</v>
      </c>
      <c r="N87" s="81">
        <f>AVERAGE(420,500,377,450,405,419,391,500,582,575)</f>
        <v>461.9</v>
      </c>
      <c r="O87" s="81" t="s">
        <v>1061</v>
      </c>
      <c r="P87" s="87" t="s">
        <v>14</v>
      </c>
      <c r="Q87" s="81" t="s">
        <v>14</v>
      </c>
      <c r="R87" s="86" t="s">
        <v>14</v>
      </c>
      <c r="S87" s="87" t="s">
        <v>14</v>
      </c>
      <c r="T87" s="81" t="s">
        <v>14</v>
      </c>
      <c r="U87" s="86" t="s">
        <v>14</v>
      </c>
    </row>
    <row r="88" spans="1:21" ht="12.6" customHeight="1">
      <c r="A88" s="80" t="s">
        <v>103</v>
      </c>
      <c r="B88" s="73" t="s">
        <v>505</v>
      </c>
      <c r="C88" s="81">
        <v>180</v>
      </c>
      <c r="D88" s="82">
        <v>3.5</v>
      </c>
      <c r="E88" s="81">
        <f t="shared" si="10"/>
        <v>288</v>
      </c>
      <c r="F88" s="83" t="s">
        <v>36</v>
      </c>
      <c r="G88" s="84">
        <v>0.47</v>
      </c>
      <c r="H88" s="85">
        <v>0.92</v>
      </c>
      <c r="I88" s="81">
        <v>165.7</v>
      </c>
      <c r="J88" s="81">
        <v>84.8</v>
      </c>
      <c r="K88" s="86">
        <v>72</v>
      </c>
      <c r="L88" s="87">
        <f>AVERAGE(399,360,378,450,400,360,418,478,379,440,455)</f>
        <v>410.63636363636363</v>
      </c>
      <c r="M88" s="86" t="s">
        <v>1153</v>
      </c>
      <c r="N88" s="81">
        <f>AVERAGE(550,540,487,499,558,548,594,500,513)</f>
        <v>532.11111111111109</v>
      </c>
      <c r="O88" s="81" t="s">
        <v>639</v>
      </c>
      <c r="P88" s="87">
        <v>500</v>
      </c>
      <c r="Q88" s="81" t="s">
        <v>1153</v>
      </c>
      <c r="R88" s="86" t="s">
        <v>30</v>
      </c>
      <c r="S88" s="87">
        <v>480</v>
      </c>
      <c r="T88" s="81" t="s">
        <v>951</v>
      </c>
      <c r="U88" s="86" t="s">
        <v>946</v>
      </c>
    </row>
    <row r="89" spans="1:21" ht="12.6" customHeight="1">
      <c r="A89" s="80" t="s">
        <v>103</v>
      </c>
      <c r="B89" s="73" t="s">
        <v>562</v>
      </c>
      <c r="C89" s="81">
        <v>300</v>
      </c>
      <c r="D89" s="82">
        <v>2.8</v>
      </c>
      <c r="E89" s="81">
        <f t="shared" si="10"/>
        <v>480</v>
      </c>
      <c r="F89" s="83" t="s">
        <v>104</v>
      </c>
      <c r="G89" s="84">
        <v>2.5</v>
      </c>
      <c r="H89" s="85">
        <v>2.21</v>
      </c>
      <c r="I89" s="81">
        <v>212</v>
      </c>
      <c r="J89" s="81">
        <v>120</v>
      </c>
      <c r="K89" s="86" t="s">
        <v>210</v>
      </c>
      <c r="L89" s="87">
        <f>AVERAGE(654,720,670,650,710,505,710,668,502,675)</f>
        <v>646.4</v>
      </c>
      <c r="M89" s="86" t="s">
        <v>681</v>
      </c>
      <c r="N89" s="81">
        <f>AVERAGE(850)</f>
        <v>850</v>
      </c>
      <c r="O89" s="81" t="s">
        <v>1171</v>
      </c>
      <c r="P89" s="87">
        <v>1250</v>
      </c>
      <c r="Q89" s="81" t="s">
        <v>467</v>
      </c>
      <c r="R89" s="86" t="s">
        <v>31</v>
      </c>
      <c r="S89" s="87">
        <v>1550</v>
      </c>
      <c r="T89" s="81" t="s">
        <v>496</v>
      </c>
      <c r="U89" s="86" t="s">
        <v>33</v>
      </c>
    </row>
    <row r="90" spans="1:21" ht="12.6" customHeight="1">
      <c r="A90" s="80" t="s">
        <v>103</v>
      </c>
      <c r="B90" s="73" t="s">
        <v>563</v>
      </c>
      <c r="C90" s="81">
        <v>300</v>
      </c>
      <c r="D90" s="82">
        <v>2.8</v>
      </c>
      <c r="E90" s="81">
        <f t="shared" si="10"/>
        <v>480</v>
      </c>
      <c r="F90" s="83" t="s">
        <v>104</v>
      </c>
      <c r="G90" s="84">
        <v>2.5</v>
      </c>
      <c r="H90" s="85">
        <v>2.21</v>
      </c>
      <c r="I90" s="81">
        <v>212</v>
      </c>
      <c r="J90" s="81">
        <v>120</v>
      </c>
      <c r="K90" s="86" t="s">
        <v>210</v>
      </c>
      <c r="L90" s="87">
        <f>AVERAGE(603,500,500,344,510,499,505,495,561,550,465,526,487)</f>
        <v>503.46153846153845</v>
      </c>
      <c r="M90" s="86" t="s">
        <v>1153</v>
      </c>
      <c r="N90" s="81">
        <f>AVERAGE(577,635,700,678,670,550,700,500)</f>
        <v>626.25</v>
      </c>
      <c r="O90" s="86" t="s">
        <v>1118</v>
      </c>
      <c r="P90" s="87">
        <v>650</v>
      </c>
      <c r="Q90" s="81" t="s">
        <v>639</v>
      </c>
      <c r="R90" s="86" t="s">
        <v>31</v>
      </c>
      <c r="S90" s="87" t="s">
        <v>14</v>
      </c>
      <c r="T90" s="81" t="s">
        <v>14</v>
      </c>
      <c r="U90" s="86" t="s">
        <v>14</v>
      </c>
    </row>
    <row r="91" spans="1:21" ht="12.6" customHeight="1">
      <c r="A91" s="80" t="s">
        <v>103</v>
      </c>
      <c r="B91" s="73" t="s">
        <v>564</v>
      </c>
      <c r="C91" s="81">
        <v>300</v>
      </c>
      <c r="D91" s="82">
        <v>2.8</v>
      </c>
      <c r="E91" s="81">
        <f t="shared" si="10"/>
        <v>480</v>
      </c>
      <c r="F91" s="83" t="s">
        <v>36</v>
      </c>
      <c r="G91" s="84">
        <v>2.5</v>
      </c>
      <c r="H91" s="85">
        <v>2.8</v>
      </c>
      <c r="I91" s="81">
        <v>216</v>
      </c>
      <c r="J91" s="81">
        <v>119</v>
      </c>
      <c r="K91" s="86" t="s">
        <v>210</v>
      </c>
      <c r="L91" s="81">
        <f>AVERAGE(695,679)</f>
        <v>687</v>
      </c>
      <c r="M91" s="86" t="s">
        <v>954</v>
      </c>
      <c r="N91" s="81">
        <f>AVERAGE(1450,1435)</f>
        <v>1442.5</v>
      </c>
      <c r="O91" s="81" t="s">
        <v>521</v>
      </c>
      <c r="P91" s="87">
        <v>995</v>
      </c>
      <c r="Q91" s="81" t="s">
        <v>639</v>
      </c>
      <c r="R91" s="86" t="s">
        <v>456</v>
      </c>
      <c r="S91" s="87">
        <v>1800</v>
      </c>
      <c r="T91" s="81" t="s">
        <v>681</v>
      </c>
      <c r="U91" s="86" t="s">
        <v>30</v>
      </c>
    </row>
    <row r="92" spans="1:21" s="26" customFormat="1" ht="12.6" customHeight="1">
      <c r="A92" s="73" t="s">
        <v>103</v>
      </c>
      <c r="B92" s="46" t="s">
        <v>363</v>
      </c>
      <c r="C92" s="9">
        <v>300</v>
      </c>
      <c r="D92" s="10">
        <v>5.6</v>
      </c>
      <c r="E92" s="50">
        <f t="shared" si="10"/>
        <v>480</v>
      </c>
      <c r="F92" s="9" t="s">
        <v>104</v>
      </c>
      <c r="G92" s="75">
        <v>1.4</v>
      </c>
      <c r="H92" s="76">
        <v>0.65</v>
      </c>
      <c r="I92" s="9">
        <v>170</v>
      </c>
      <c r="J92" s="9">
        <v>65</v>
      </c>
      <c r="K92" s="10">
        <v>58</v>
      </c>
      <c r="L92" s="65">
        <f>AVERAGE(115,60,144,105,99,129,105,139,100,148,128,103,100,110,100,125,128)</f>
        <v>114</v>
      </c>
      <c r="M92" s="25" t="s">
        <v>1153</v>
      </c>
      <c r="N92" s="65">
        <f>AVERAGE(139,190,227,255,224)</f>
        <v>207</v>
      </c>
      <c r="O92" s="118" t="s">
        <v>1061</v>
      </c>
      <c r="P92" s="65">
        <v>145</v>
      </c>
      <c r="Q92" s="25" t="s">
        <v>639</v>
      </c>
      <c r="R92" s="50" t="s">
        <v>33</v>
      </c>
      <c r="S92" s="65" t="s">
        <v>14</v>
      </c>
      <c r="T92" s="25" t="s">
        <v>14</v>
      </c>
      <c r="U92" s="50" t="s">
        <v>14</v>
      </c>
    </row>
    <row r="93" spans="1:21" ht="12.6" customHeight="1">
      <c r="A93" s="80" t="s">
        <v>103</v>
      </c>
      <c r="B93" s="73" t="s">
        <v>448</v>
      </c>
      <c r="C93" s="81">
        <v>350</v>
      </c>
      <c r="D93" s="82">
        <v>5.6</v>
      </c>
      <c r="E93" s="81">
        <f t="shared" si="10"/>
        <v>560</v>
      </c>
      <c r="F93" s="83" t="s">
        <v>104</v>
      </c>
      <c r="G93" s="84">
        <v>1.1000000000000001</v>
      </c>
      <c r="H93" s="85">
        <v>0.62</v>
      </c>
      <c r="I93" s="81">
        <v>74.5</v>
      </c>
      <c r="J93" s="81">
        <v>86</v>
      </c>
      <c r="K93" s="86">
        <v>82</v>
      </c>
      <c r="L93" s="87">
        <f>AVERAGE(548,534,529,544,500,450,491,500)</f>
        <v>512</v>
      </c>
      <c r="M93" s="86" t="s">
        <v>1153</v>
      </c>
      <c r="N93" s="81">
        <f>AVERAGE(750,740,634,686,532,650,598,600,620,680)</f>
        <v>649</v>
      </c>
      <c r="O93" s="86" t="s">
        <v>1118</v>
      </c>
      <c r="P93" s="87">
        <v>430</v>
      </c>
      <c r="Q93" s="81" t="s">
        <v>619</v>
      </c>
      <c r="R93" s="86" t="s">
        <v>28</v>
      </c>
      <c r="S93" s="87" t="s">
        <v>14</v>
      </c>
      <c r="T93" s="81" t="s">
        <v>14</v>
      </c>
      <c r="U93" s="86" t="s">
        <v>14</v>
      </c>
    </row>
    <row r="94" spans="1:21" ht="12.6" customHeight="1">
      <c r="A94" s="88" t="s">
        <v>103</v>
      </c>
      <c r="B94" s="67" t="s">
        <v>395</v>
      </c>
      <c r="C94" s="89">
        <v>400</v>
      </c>
      <c r="D94" s="89">
        <v>4</v>
      </c>
      <c r="E94" s="89">
        <f t="shared" si="10"/>
        <v>640</v>
      </c>
      <c r="F94" s="90" t="s">
        <v>104</v>
      </c>
      <c r="G94" s="91">
        <v>3</v>
      </c>
      <c r="H94" s="92">
        <v>2.2999999999999998</v>
      </c>
      <c r="I94" s="89">
        <v>293</v>
      </c>
      <c r="J94" s="89">
        <v>118</v>
      </c>
      <c r="K94" s="93" t="s">
        <v>210</v>
      </c>
      <c r="L94" s="89">
        <f>AVERAGE(748,810,760,647,830,785,711,799,829)</f>
        <v>768.77777777777783</v>
      </c>
      <c r="M94" s="93" t="s">
        <v>814</v>
      </c>
      <c r="N94" s="89">
        <f>AVERAGE(900,1012,900,1209,1032,899,1000,900,890,1050)</f>
        <v>979.2</v>
      </c>
      <c r="O94" s="89" t="s">
        <v>612</v>
      </c>
      <c r="P94" s="94" t="s">
        <v>14</v>
      </c>
      <c r="Q94" s="89" t="s">
        <v>14</v>
      </c>
      <c r="R94" s="93" t="s">
        <v>14</v>
      </c>
      <c r="S94" s="94" t="s">
        <v>14</v>
      </c>
      <c r="T94" s="89" t="s">
        <v>14</v>
      </c>
      <c r="U94" s="93" t="s">
        <v>14</v>
      </c>
    </row>
    <row r="95" spans="1:21" ht="12.6" customHeight="1">
      <c r="A95" s="80" t="s">
        <v>103</v>
      </c>
      <c r="B95" s="73" t="s">
        <v>665</v>
      </c>
      <c r="C95" s="81" t="s">
        <v>664</v>
      </c>
      <c r="D95" s="82">
        <v>2.8</v>
      </c>
      <c r="E95" s="81" t="s">
        <v>417</v>
      </c>
      <c r="F95" s="83" t="s">
        <v>36</v>
      </c>
      <c r="G95" s="84">
        <v>0.28000000000000003</v>
      </c>
      <c r="H95" s="85">
        <v>1.1000000000000001</v>
      </c>
      <c r="I95" s="81">
        <v>145</v>
      </c>
      <c r="J95" s="81">
        <v>98.4</v>
      </c>
      <c r="K95" s="86" t="s">
        <v>29</v>
      </c>
      <c r="L95" s="81">
        <f>AVERAGE(750,780,590,791,788)</f>
        <v>739.8</v>
      </c>
      <c r="M95" s="86" t="s">
        <v>1171</v>
      </c>
      <c r="N95" s="81">
        <f>AVERAGE(769,825,780,760,879,838,829)</f>
        <v>811.42857142857144</v>
      </c>
      <c r="O95" s="81" t="s">
        <v>1153</v>
      </c>
      <c r="P95" s="87" t="s">
        <v>14</v>
      </c>
      <c r="Q95" s="81" t="s">
        <v>14</v>
      </c>
      <c r="R95" s="86" t="s">
        <v>14</v>
      </c>
      <c r="S95" s="141">
        <f>1185*CA.US</f>
        <v>900.6</v>
      </c>
      <c r="T95" s="81" t="s">
        <v>1061</v>
      </c>
      <c r="U95" s="86" t="s">
        <v>327</v>
      </c>
    </row>
    <row r="96" spans="1:21" ht="12.6" customHeight="1">
      <c r="A96" s="80" t="s">
        <v>103</v>
      </c>
      <c r="B96" s="73" t="s">
        <v>260</v>
      </c>
      <c r="C96" s="95" t="s">
        <v>88</v>
      </c>
      <c r="D96" s="82" t="s">
        <v>105</v>
      </c>
      <c r="E96" s="95" t="s">
        <v>89</v>
      </c>
      <c r="F96" s="83" t="s">
        <v>36</v>
      </c>
      <c r="G96" s="84">
        <v>0.5</v>
      </c>
      <c r="H96" s="85">
        <v>0.53</v>
      </c>
      <c r="I96" s="81">
        <v>81</v>
      </c>
      <c r="J96" s="81">
        <v>82</v>
      </c>
      <c r="K96" s="86">
        <v>77</v>
      </c>
      <c r="L96" s="87">
        <f>AVERAGE(120,120,113)</f>
        <v>117.66666666666667</v>
      </c>
      <c r="M96" s="86" t="s">
        <v>708</v>
      </c>
      <c r="N96" s="81">
        <f>AVERAGE(160)</f>
        <v>160</v>
      </c>
      <c r="O96" s="86" t="s">
        <v>624</v>
      </c>
      <c r="P96" s="96">
        <v>182</v>
      </c>
      <c r="Q96" s="81" t="s">
        <v>723</v>
      </c>
      <c r="R96" s="97" t="s">
        <v>28</v>
      </c>
      <c r="S96" s="96" t="s">
        <v>14</v>
      </c>
      <c r="T96" s="81" t="s">
        <v>14</v>
      </c>
      <c r="U96" s="97" t="s">
        <v>14</v>
      </c>
    </row>
    <row r="97" spans="1:21" ht="12.6" customHeight="1">
      <c r="A97" s="80" t="s">
        <v>103</v>
      </c>
      <c r="B97" s="73" t="s">
        <v>913</v>
      </c>
      <c r="C97" s="95" t="s">
        <v>417</v>
      </c>
      <c r="D97" s="82" t="s">
        <v>419</v>
      </c>
      <c r="E97" s="95" t="s">
        <v>418</v>
      </c>
      <c r="F97" s="83" t="s">
        <v>104</v>
      </c>
      <c r="G97" s="84">
        <v>0.6</v>
      </c>
      <c r="H97" s="85">
        <v>0.34599999999999997</v>
      </c>
      <c r="I97" s="81">
        <v>61</v>
      </c>
      <c r="J97" s="81">
        <v>65.5</v>
      </c>
      <c r="K97" s="86">
        <v>77</v>
      </c>
      <c r="L97" s="87">
        <f>AVERAGE(110,133)</f>
        <v>121.5</v>
      </c>
      <c r="M97" s="86" t="s">
        <v>874</v>
      </c>
      <c r="N97" s="81">
        <f>AVERAGE(438,430)</f>
        <v>434</v>
      </c>
      <c r="O97" s="86" t="s">
        <v>432</v>
      </c>
      <c r="P97" s="96" t="s">
        <v>14</v>
      </c>
      <c r="Q97" s="81" t="s">
        <v>14</v>
      </c>
      <c r="R97" s="97" t="s">
        <v>14</v>
      </c>
      <c r="S97" s="96" t="s">
        <v>14</v>
      </c>
      <c r="T97" s="81" t="s">
        <v>14</v>
      </c>
      <c r="U97" s="97" t="s">
        <v>14</v>
      </c>
    </row>
    <row r="98" spans="1:21" ht="12.6" customHeight="1">
      <c r="A98" s="80" t="s">
        <v>103</v>
      </c>
      <c r="B98" s="73" t="s">
        <v>468</v>
      </c>
      <c r="C98" s="95" t="s">
        <v>50</v>
      </c>
      <c r="D98" s="82">
        <v>2.8</v>
      </c>
      <c r="E98" s="85" t="s">
        <v>90</v>
      </c>
      <c r="F98" s="83" t="s">
        <v>36</v>
      </c>
      <c r="G98" s="84">
        <v>0.38</v>
      </c>
      <c r="H98" s="85">
        <v>0.82499999999999996</v>
      </c>
      <c r="I98" s="81">
        <v>108.5</v>
      </c>
      <c r="J98" s="81">
        <v>88.2</v>
      </c>
      <c r="K98" s="86">
        <v>82</v>
      </c>
      <c r="L98" s="81">
        <f>AVERAGE(656,575,585,585,540,615,585,540,510,650,629)</f>
        <v>588.18181818181813</v>
      </c>
      <c r="M98" s="86" t="s">
        <v>1171</v>
      </c>
      <c r="N98" s="81">
        <f>AVERAGE(699,739,743,750,670,744,710,775,700,685,789)</f>
        <v>727.63636363636363</v>
      </c>
      <c r="O98" s="86" t="s">
        <v>1061</v>
      </c>
      <c r="P98" s="87">
        <v>850</v>
      </c>
      <c r="Q98" s="81" t="s">
        <v>918</v>
      </c>
      <c r="R98" s="97" t="s">
        <v>28</v>
      </c>
      <c r="S98" s="96">
        <v>580</v>
      </c>
      <c r="T98" s="81" t="s">
        <v>1153</v>
      </c>
      <c r="U98" s="97" t="s">
        <v>456</v>
      </c>
    </row>
    <row r="99" spans="1:21" ht="12.6" customHeight="1">
      <c r="A99" s="80" t="s">
        <v>103</v>
      </c>
      <c r="B99" s="73" t="s">
        <v>403</v>
      </c>
      <c r="C99" s="95" t="s">
        <v>304</v>
      </c>
      <c r="D99" s="82" t="s">
        <v>65</v>
      </c>
      <c r="E99" s="95" t="s">
        <v>415</v>
      </c>
      <c r="F99" s="83" t="s">
        <v>36</v>
      </c>
      <c r="G99" s="84">
        <v>0.4</v>
      </c>
      <c r="H99" s="85">
        <v>0.53</v>
      </c>
      <c r="I99" s="81">
        <v>79</v>
      </c>
      <c r="J99" s="81">
        <v>81</v>
      </c>
      <c r="K99" s="86">
        <v>72</v>
      </c>
      <c r="L99" s="81">
        <f>AVERAGE(142,130,121,149,135,178,129)</f>
        <v>140.57142857142858</v>
      </c>
      <c r="M99" s="86" t="s">
        <v>614</v>
      </c>
      <c r="N99" s="81">
        <f>AVERAGE(175,205,202,250,189,223,250,202)</f>
        <v>212</v>
      </c>
      <c r="O99" s="86" t="s">
        <v>674</v>
      </c>
      <c r="P99" s="96">
        <v>175</v>
      </c>
      <c r="Q99" s="81" t="s">
        <v>681</v>
      </c>
      <c r="R99" s="97" t="s">
        <v>28</v>
      </c>
      <c r="S99" s="96" t="s">
        <v>14</v>
      </c>
      <c r="T99" s="81" t="s">
        <v>14</v>
      </c>
      <c r="U99" s="97" t="s">
        <v>14</v>
      </c>
    </row>
    <row r="100" spans="1:21" ht="12.6" customHeight="1">
      <c r="A100" s="80" t="s">
        <v>103</v>
      </c>
      <c r="B100" s="73" t="s">
        <v>261</v>
      </c>
      <c r="C100" s="95" t="s">
        <v>106</v>
      </c>
      <c r="D100" s="82">
        <v>2.8</v>
      </c>
      <c r="E100" s="95" t="s">
        <v>430</v>
      </c>
      <c r="F100" s="83" t="s">
        <v>36</v>
      </c>
      <c r="G100" s="84">
        <v>0.33</v>
      </c>
      <c r="H100" s="85">
        <v>0.51</v>
      </c>
      <c r="I100" s="81">
        <v>92</v>
      </c>
      <c r="J100" s="81">
        <v>73</v>
      </c>
      <c r="K100" s="86">
        <v>67</v>
      </c>
      <c r="L100" s="87">
        <f>AVERAGE(196,225,250,218,143,204,199,193,208,212,239,230,220)</f>
        <v>210.53846153846155</v>
      </c>
      <c r="M100" s="86" t="s">
        <v>1171</v>
      </c>
      <c r="N100" s="81">
        <f>AVERAGE(280,285,313,325,310,345,333,346,331)</f>
        <v>318.66666666666669</v>
      </c>
      <c r="O100" s="81" t="s">
        <v>1061</v>
      </c>
      <c r="P100" s="87">
        <v>195</v>
      </c>
      <c r="Q100" s="81" t="s">
        <v>1153</v>
      </c>
      <c r="R100" s="86" t="s">
        <v>456</v>
      </c>
      <c r="S100" s="87">
        <v>260</v>
      </c>
      <c r="T100" s="81" t="s">
        <v>1153</v>
      </c>
      <c r="U100" s="86" t="s">
        <v>633</v>
      </c>
    </row>
    <row r="101" spans="1:21" s="26" customFormat="1" ht="12.6" customHeight="1">
      <c r="A101" s="73" t="s">
        <v>103</v>
      </c>
      <c r="B101" s="46" t="s">
        <v>413</v>
      </c>
      <c r="C101" s="9" t="s">
        <v>107</v>
      </c>
      <c r="D101" s="10">
        <v>2.8</v>
      </c>
      <c r="E101" s="50" t="s">
        <v>431</v>
      </c>
      <c r="F101" s="9" t="s">
        <v>36</v>
      </c>
      <c r="G101" s="75">
        <v>0.44</v>
      </c>
      <c r="H101" s="76">
        <v>0.84499999999999997</v>
      </c>
      <c r="I101" s="9">
        <v>104.5</v>
      </c>
      <c r="J101" s="9">
        <v>87</v>
      </c>
      <c r="K101" s="10">
        <v>82</v>
      </c>
      <c r="L101" s="65">
        <f>AVERAGE(195,170,150,183,170,205)</f>
        <v>178.83333333333334</v>
      </c>
      <c r="M101" s="25" t="s">
        <v>702</v>
      </c>
      <c r="N101" s="65">
        <f>AVERAGE(292,382,238,255)</f>
        <v>291.75</v>
      </c>
      <c r="O101" s="118" t="s">
        <v>1061</v>
      </c>
      <c r="P101" s="65">
        <v>328</v>
      </c>
      <c r="Q101" s="25" t="s">
        <v>918</v>
      </c>
      <c r="R101" s="50" t="s">
        <v>28</v>
      </c>
      <c r="S101" s="65">
        <v>425</v>
      </c>
      <c r="T101" s="25" t="s">
        <v>681</v>
      </c>
      <c r="U101" s="50" t="s">
        <v>30</v>
      </c>
    </row>
    <row r="102" spans="1:21" s="26" customFormat="1" ht="12.6" customHeight="1">
      <c r="A102" s="73" t="s">
        <v>103</v>
      </c>
      <c r="B102" s="46" t="s">
        <v>623</v>
      </c>
      <c r="C102" s="9" t="s">
        <v>621</v>
      </c>
      <c r="D102" s="10">
        <v>2.8</v>
      </c>
      <c r="E102" s="50" t="s">
        <v>622</v>
      </c>
      <c r="F102" s="9" t="s">
        <v>36</v>
      </c>
      <c r="G102" s="75">
        <v>0.49</v>
      </c>
      <c r="H102" s="76">
        <v>0.35399999999999998</v>
      </c>
      <c r="I102" s="9">
        <v>75.2</v>
      </c>
      <c r="J102" s="9">
        <v>71</v>
      </c>
      <c r="K102" s="10">
        <v>62</v>
      </c>
      <c r="L102" s="65">
        <f>AVERAGE(122,120,125)</f>
        <v>122.33333333333333</v>
      </c>
      <c r="M102" s="25" t="s">
        <v>1059</v>
      </c>
      <c r="N102" s="65">
        <f>AVERAGE(167,140,140)</f>
        <v>149</v>
      </c>
      <c r="O102" s="118" t="s">
        <v>1061</v>
      </c>
      <c r="P102" s="65">
        <v>80</v>
      </c>
      <c r="Q102" s="25" t="s">
        <v>628</v>
      </c>
      <c r="R102" s="50" t="s">
        <v>28</v>
      </c>
      <c r="S102" s="65" t="s">
        <v>14</v>
      </c>
      <c r="T102" s="25" t="s">
        <v>14</v>
      </c>
      <c r="U102" s="50" t="s">
        <v>14</v>
      </c>
    </row>
    <row r="103" spans="1:21" ht="12.6" customHeight="1">
      <c r="A103" s="80" t="s">
        <v>103</v>
      </c>
      <c r="B103" s="73" t="s">
        <v>409</v>
      </c>
      <c r="C103" s="95" t="s">
        <v>407</v>
      </c>
      <c r="D103" s="82" t="s">
        <v>408</v>
      </c>
      <c r="E103" s="95" t="s">
        <v>416</v>
      </c>
      <c r="F103" s="98" t="s">
        <v>104</v>
      </c>
      <c r="G103" s="34">
        <v>0.27</v>
      </c>
      <c r="H103" s="35">
        <v>0.46</v>
      </c>
      <c r="I103" s="20">
        <v>78.5</v>
      </c>
      <c r="J103" s="21">
        <v>65</v>
      </c>
      <c r="K103" s="20">
        <v>62</v>
      </c>
      <c r="L103" s="87">
        <f>AVERAGE(29,27,30,37,43,70,65,50,47)</f>
        <v>44.222222222222221</v>
      </c>
      <c r="M103" s="86" t="s">
        <v>874</v>
      </c>
      <c r="N103" s="81">
        <f>AVERAGE(90,125,128,130,115,150,105,109,164,109)</f>
        <v>122.5</v>
      </c>
      <c r="O103" s="81" t="s">
        <v>874</v>
      </c>
      <c r="P103" s="87">
        <v>70</v>
      </c>
      <c r="Q103" s="81" t="s">
        <v>723</v>
      </c>
      <c r="R103" s="86" t="s">
        <v>30</v>
      </c>
      <c r="S103" s="87" t="s">
        <v>14</v>
      </c>
      <c r="T103" s="81" t="s">
        <v>14</v>
      </c>
      <c r="U103" s="86" t="s">
        <v>14</v>
      </c>
    </row>
    <row r="104" spans="1:21" ht="12.6" customHeight="1">
      <c r="A104" s="80" t="s">
        <v>103</v>
      </c>
      <c r="B104" s="73" t="s">
        <v>435</v>
      </c>
      <c r="C104" s="95" t="s">
        <v>434</v>
      </c>
      <c r="D104" s="82">
        <v>2.8</v>
      </c>
      <c r="E104" s="95" t="s">
        <v>470</v>
      </c>
      <c r="F104" s="98" t="s">
        <v>104</v>
      </c>
      <c r="G104" s="34">
        <v>0.98</v>
      </c>
      <c r="H104" s="35">
        <v>0.76</v>
      </c>
      <c r="I104" s="20">
        <v>147</v>
      </c>
      <c r="J104" s="21">
        <v>67.5</v>
      </c>
      <c r="K104" s="20">
        <v>62</v>
      </c>
      <c r="L104" s="87">
        <f>AVERAGE(550,451,478)</f>
        <v>493</v>
      </c>
      <c r="M104" s="86" t="s">
        <v>874</v>
      </c>
      <c r="N104" s="81">
        <f>AVERAGE(955)</f>
        <v>955</v>
      </c>
      <c r="O104" s="81" t="s">
        <v>1171</v>
      </c>
      <c r="P104" s="87" t="s">
        <v>14</v>
      </c>
      <c r="Q104" s="81" t="s">
        <v>14</v>
      </c>
      <c r="R104" s="86" t="s">
        <v>14</v>
      </c>
      <c r="S104" s="87" t="s">
        <v>14</v>
      </c>
      <c r="T104" s="81" t="s">
        <v>14</v>
      </c>
      <c r="U104" s="86" t="s">
        <v>14</v>
      </c>
    </row>
    <row r="105" spans="1:21" ht="12.6" customHeight="1">
      <c r="A105" s="80" t="s">
        <v>103</v>
      </c>
      <c r="B105" s="73" t="s">
        <v>540</v>
      </c>
      <c r="C105" s="95" t="s">
        <v>59</v>
      </c>
      <c r="D105" s="82">
        <v>2.8</v>
      </c>
      <c r="E105" s="95" t="s">
        <v>97</v>
      </c>
      <c r="F105" s="83" t="s">
        <v>36</v>
      </c>
      <c r="G105" s="84">
        <v>0.95</v>
      </c>
      <c r="H105" s="85">
        <v>1.1499999999999999</v>
      </c>
      <c r="I105" s="81">
        <v>194</v>
      </c>
      <c r="J105" s="81">
        <v>90</v>
      </c>
      <c r="K105" s="86">
        <v>77</v>
      </c>
      <c r="L105" s="81">
        <f>AVERAGE(350,380,380,450,400)</f>
        <v>392</v>
      </c>
      <c r="M105" s="86" t="s">
        <v>1002</v>
      </c>
      <c r="N105" s="81">
        <f>AVERAGE(525,620,420,580,519,550,473,550,555,580)</f>
        <v>537.20000000000005</v>
      </c>
      <c r="O105" s="86" t="s">
        <v>1061</v>
      </c>
      <c r="P105" s="87">
        <v>540</v>
      </c>
      <c r="Q105" s="81" t="s">
        <v>723</v>
      </c>
      <c r="R105" s="86" t="s">
        <v>31</v>
      </c>
      <c r="S105" s="87">
        <v>710</v>
      </c>
      <c r="T105" s="81" t="s">
        <v>521</v>
      </c>
      <c r="U105" s="86" t="s">
        <v>31</v>
      </c>
    </row>
    <row r="106" spans="1:21" ht="12.6" customHeight="1">
      <c r="A106" s="80" t="s">
        <v>103</v>
      </c>
      <c r="B106" s="73" t="s">
        <v>541</v>
      </c>
      <c r="C106" s="95" t="s">
        <v>59</v>
      </c>
      <c r="D106" s="82">
        <v>2.8</v>
      </c>
      <c r="E106" s="95" t="s">
        <v>97</v>
      </c>
      <c r="F106" s="83" t="s">
        <v>36</v>
      </c>
      <c r="G106" s="84">
        <v>1.3</v>
      </c>
      <c r="H106" s="85">
        <v>1.47</v>
      </c>
      <c r="I106" s="81">
        <v>196.7</v>
      </c>
      <c r="J106" s="81">
        <v>85.8</v>
      </c>
      <c r="K106" s="86">
        <v>77</v>
      </c>
      <c r="L106" s="81">
        <f>AVERAGE(739,925,800,787,930,870,830,825)</f>
        <v>838.25</v>
      </c>
      <c r="M106" s="86" t="s">
        <v>1091</v>
      </c>
      <c r="N106" s="104">
        <f>AVERAGE(870)</f>
        <v>870</v>
      </c>
      <c r="O106" s="86" t="s">
        <v>1061</v>
      </c>
      <c r="P106" s="87">
        <v>1035</v>
      </c>
      <c r="Q106" s="81" t="s">
        <v>918</v>
      </c>
      <c r="R106" s="86" t="s">
        <v>28</v>
      </c>
      <c r="S106" s="87">
        <v>1220</v>
      </c>
      <c r="T106" s="81" t="s">
        <v>723</v>
      </c>
      <c r="U106" s="86" t="s">
        <v>28</v>
      </c>
    </row>
    <row r="107" spans="1:21" ht="12.6" customHeight="1">
      <c r="A107" s="80" t="s">
        <v>103</v>
      </c>
      <c r="B107" s="73" t="s">
        <v>414</v>
      </c>
      <c r="C107" s="95" t="s">
        <v>80</v>
      </c>
      <c r="D107" s="82" t="s">
        <v>81</v>
      </c>
      <c r="E107" s="95" t="s">
        <v>469</v>
      </c>
      <c r="F107" s="83" t="s">
        <v>36</v>
      </c>
      <c r="G107" s="84">
        <v>1.4</v>
      </c>
      <c r="H107" s="85">
        <v>0.76500000000000001</v>
      </c>
      <c r="I107" s="81">
        <v>142.69999999999999</v>
      </c>
      <c r="J107" s="81">
        <v>81.5</v>
      </c>
      <c r="K107" s="86">
        <v>62</v>
      </c>
      <c r="L107" s="81">
        <f>AVERAGE(168,237,240,178,196,193,244,255,260,207,245,243)</f>
        <v>222.16666666666666</v>
      </c>
      <c r="M107" s="86" t="s">
        <v>1171</v>
      </c>
      <c r="N107" s="81">
        <f>AVERAGE(279,300,240,305,285,294,269,300)</f>
        <v>284</v>
      </c>
      <c r="O107" s="81" t="s">
        <v>874</v>
      </c>
      <c r="P107" s="87">
        <v>270</v>
      </c>
      <c r="Q107" s="81" t="s">
        <v>723</v>
      </c>
      <c r="R107" s="86" t="s">
        <v>28</v>
      </c>
      <c r="S107" s="87">
        <f>300*CA.US</f>
        <v>228</v>
      </c>
      <c r="T107" s="81" t="s">
        <v>708</v>
      </c>
      <c r="U107" s="86" t="s">
        <v>327</v>
      </c>
    </row>
    <row r="108" spans="1:21" ht="12.6" customHeight="1">
      <c r="A108" s="80" t="s">
        <v>103</v>
      </c>
      <c r="B108" s="73" t="s">
        <v>410</v>
      </c>
      <c r="C108" s="95" t="s">
        <v>61</v>
      </c>
      <c r="D108" s="82">
        <v>2.8</v>
      </c>
      <c r="E108" s="95" t="s">
        <v>62</v>
      </c>
      <c r="F108" s="83" t="s">
        <v>104</v>
      </c>
      <c r="G108" s="84">
        <v>1.5</v>
      </c>
      <c r="H108" s="85">
        <v>1.22</v>
      </c>
      <c r="I108" s="81">
        <v>178</v>
      </c>
      <c r="J108" s="81">
        <v>82</v>
      </c>
      <c r="K108" s="86">
        <v>77</v>
      </c>
      <c r="L108" s="87">
        <f>AVERAGE(199,199,174,243,170)</f>
        <v>197</v>
      </c>
      <c r="M108" s="86" t="s">
        <v>874</v>
      </c>
      <c r="N108" s="81">
        <f>AVERAGE(292,292,338,385,413,385)</f>
        <v>350.83333333333331</v>
      </c>
      <c r="O108" s="86" t="s">
        <v>639</v>
      </c>
      <c r="P108" s="96">
        <v>395</v>
      </c>
      <c r="Q108" s="81" t="s">
        <v>467</v>
      </c>
      <c r="R108" s="97" t="s">
        <v>33</v>
      </c>
      <c r="S108" s="96">
        <v>430</v>
      </c>
      <c r="T108" s="81" t="s">
        <v>467</v>
      </c>
      <c r="U108" s="97" t="s">
        <v>28</v>
      </c>
    </row>
    <row r="109" spans="1:21" ht="12.6" customHeight="1">
      <c r="A109" s="80" t="s">
        <v>103</v>
      </c>
      <c r="B109" s="73" t="s">
        <v>1004</v>
      </c>
      <c r="C109" s="95" t="s">
        <v>74</v>
      </c>
      <c r="D109" s="82" t="s">
        <v>989</v>
      </c>
      <c r="E109" s="95" t="s">
        <v>76</v>
      </c>
      <c r="F109" s="83" t="s">
        <v>36</v>
      </c>
      <c r="G109" s="84">
        <v>1.5</v>
      </c>
      <c r="H109" s="85">
        <v>1.135</v>
      </c>
      <c r="I109" s="81">
        <v>199</v>
      </c>
      <c r="J109" s="81">
        <v>86.2</v>
      </c>
      <c r="K109" s="86">
        <v>67</v>
      </c>
      <c r="L109" s="81">
        <f t="shared" ref="L109" si="11">AVERAGE(0)</f>
        <v>0</v>
      </c>
      <c r="M109" s="86" t="s">
        <v>14</v>
      </c>
      <c r="N109" s="81">
        <f t="shared" ref="N109" si="12">AVERAGE(0)</f>
        <v>0</v>
      </c>
      <c r="O109" s="81" t="s">
        <v>14</v>
      </c>
      <c r="P109" s="96" t="s">
        <v>14</v>
      </c>
      <c r="Q109" s="81" t="s">
        <v>14</v>
      </c>
      <c r="R109" s="97" t="s">
        <v>14</v>
      </c>
      <c r="S109" s="96" t="s">
        <v>14</v>
      </c>
      <c r="T109" s="81" t="s">
        <v>14</v>
      </c>
      <c r="U109" s="97" t="s">
        <v>14</v>
      </c>
    </row>
    <row r="110" spans="1:21" ht="12.6" customHeight="1">
      <c r="A110" s="80" t="s">
        <v>103</v>
      </c>
      <c r="B110" s="73" t="s">
        <v>596</v>
      </c>
      <c r="C110" s="95" t="s">
        <v>597</v>
      </c>
      <c r="D110" s="82" t="s">
        <v>501</v>
      </c>
      <c r="E110" s="95" t="s">
        <v>598</v>
      </c>
      <c r="F110" s="83" t="s">
        <v>36</v>
      </c>
      <c r="G110" s="84">
        <v>2.7</v>
      </c>
      <c r="H110" s="85">
        <v>1.9510000000000001</v>
      </c>
      <c r="I110" s="81">
        <v>257.8</v>
      </c>
      <c r="J110" s="81">
        <v>105.6</v>
      </c>
      <c r="K110" s="86">
        <v>95</v>
      </c>
      <c r="L110" s="81">
        <f>AVERAGE(540,625,567,630,619,599,625,536,495,540,650,675,620)</f>
        <v>593.92307692307691</v>
      </c>
      <c r="M110" s="86" t="s">
        <v>1171</v>
      </c>
      <c r="N110" s="81">
        <f>AVERAGE(657,695,752,725,610,725,715,736,756,736,710)</f>
        <v>710.63636363636363</v>
      </c>
      <c r="O110" s="81" t="s">
        <v>1171</v>
      </c>
      <c r="P110" s="96">
        <f>CA.US*850</f>
        <v>646</v>
      </c>
      <c r="Q110" s="81" t="s">
        <v>1153</v>
      </c>
      <c r="R110" s="97" t="s">
        <v>327</v>
      </c>
      <c r="S110" s="87">
        <f>1195*CA.US</f>
        <v>908.2</v>
      </c>
      <c r="T110" s="81" t="s">
        <v>1153</v>
      </c>
      <c r="U110" s="97" t="s">
        <v>873</v>
      </c>
    </row>
    <row r="111" spans="1:21" ht="12.6" customHeight="1">
      <c r="A111" s="80" t="s">
        <v>103</v>
      </c>
      <c r="B111" s="73" t="s">
        <v>411</v>
      </c>
      <c r="C111" s="95" t="s">
        <v>109</v>
      </c>
      <c r="D111" s="82">
        <v>5.6</v>
      </c>
      <c r="E111" s="95" t="s">
        <v>471</v>
      </c>
      <c r="F111" s="83" t="s">
        <v>36</v>
      </c>
      <c r="G111" s="84">
        <v>2.5</v>
      </c>
      <c r="H111" s="85">
        <v>1.26</v>
      </c>
      <c r="I111" s="81">
        <v>178</v>
      </c>
      <c r="J111" s="81">
        <v>85.4</v>
      </c>
      <c r="K111" s="86">
        <v>77</v>
      </c>
      <c r="L111" s="87">
        <f>AVERAGE(160)</f>
        <v>160</v>
      </c>
      <c r="M111" s="97" t="s">
        <v>1171</v>
      </c>
      <c r="N111" s="81">
        <f>AVERAGE(265,299,300,325,281,243,249,265,330,287,278,306,300)</f>
        <v>286.76923076923077</v>
      </c>
      <c r="O111" s="95" t="s">
        <v>645</v>
      </c>
      <c r="P111" s="87">
        <v>210</v>
      </c>
      <c r="Q111" s="95" t="s">
        <v>918</v>
      </c>
      <c r="R111" s="86" t="s">
        <v>28</v>
      </c>
      <c r="S111" s="87">
        <v>350</v>
      </c>
      <c r="T111" s="95" t="s">
        <v>306</v>
      </c>
      <c r="U111" s="86" t="s">
        <v>33</v>
      </c>
    </row>
    <row r="112" spans="1:21" ht="12.6" customHeight="1">
      <c r="A112" s="80" t="s">
        <v>103</v>
      </c>
      <c r="B112" s="73" t="s">
        <v>487</v>
      </c>
      <c r="C112" s="95" t="s">
        <v>110</v>
      </c>
      <c r="D112" s="82">
        <v>5.6</v>
      </c>
      <c r="E112" s="95" t="s">
        <v>269</v>
      </c>
      <c r="F112" s="83" t="s">
        <v>104</v>
      </c>
      <c r="G112" s="84">
        <v>2.5</v>
      </c>
      <c r="H112" s="85">
        <v>2.74</v>
      </c>
      <c r="I112" s="81">
        <v>360.5</v>
      </c>
      <c r="J112" s="81">
        <v>105</v>
      </c>
      <c r="K112" s="86">
        <v>95</v>
      </c>
      <c r="L112" s="81">
        <f>AVERAGE(401,400,389,442,390,355,433)</f>
        <v>401.42857142857144</v>
      </c>
      <c r="M112" s="97" t="s">
        <v>925</v>
      </c>
      <c r="N112" s="81">
        <f>AVERAGE(505,429,450,503,436)</f>
        <v>464.6</v>
      </c>
      <c r="O112" s="95" t="s">
        <v>954</v>
      </c>
      <c r="P112" s="87">
        <v>175</v>
      </c>
      <c r="Q112" s="95" t="s">
        <v>723</v>
      </c>
      <c r="R112" s="86" t="s">
        <v>28</v>
      </c>
      <c r="S112" s="87" t="s">
        <v>14</v>
      </c>
      <c r="T112" s="95" t="s">
        <v>14</v>
      </c>
      <c r="U112" s="86" t="s">
        <v>14</v>
      </c>
    </row>
    <row r="113" spans="1:21" ht="12.6" customHeight="1">
      <c r="A113" s="88" t="s">
        <v>103</v>
      </c>
      <c r="B113" s="67" t="s">
        <v>412</v>
      </c>
      <c r="C113" s="89" t="s">
        <v>110</v>
      </c>
      <c r="D113" s="89" t="s">
        <v>385</v>
      </c>
      <c r="E113" s="89" t="s">
        <v>269</v>
      </c>
      <c r="F113" s="90" t="s">
        <v>36</v>
      </c>
      <c r="G113" s="91">
        <v>2.5</v>
      </c>
      <c r="H113" s="92">
        <v>1.2370000000000001</v>
      </c>
      <c r="I113" s="89">
        <v>227</v>
      </c>
      <c r="J113" s="89">
        <v>93.5</v>
      </c>
      <c r="K113" s="93">
        <v>86</v>
      </c>
      <c r="L113" s="89">
        <f>AVERAGE(449,295,350,287,350,339,480,385)</f>
        <v>366.875</v>
      </c>
      <c r="M113" s="93" t="s">
        <v>892</v>
      </c>
      <c r="N113" s="89">
        <f>AVERAGE(757,710,850,570,550,725,650,610,700,699)</f>
        <v>682.1</v>
      </c>
      <c r="O113" s="89" t="s">
        <v>892</v>
      </c>
      <c r="P113" s="94">
        <v>400</v>
      </c>
      <c r="Q113" s="89" t="s">
        <v>1061</v>
      </c>
      <c r="R113" s="93" t="s">
        <v>30</v>
      </c>
      <c r="S113" s="94">
        <v>730</v>
      </c>
      <c r="T113" s="89" t="s">
        <v>681</v>
      </c>
      <c r="U113" s="93" t="s">
        <v>633</v>
      </c>
    </row>
    <row r="114" spans="1:21" ht="12.6" customHeight="1">
      <c r="C114" s="21" t="s">
        <v>14</v>
      </c>
      <c r="D114" s="34" t="s">
        <v>14</v>
      </c>
      <c r="E114" s="21" t="s">
        <v>14</v>
      </c>
      <c r="F114" s="21" t="s">
        <v>14</v>
      </c>
      <c r="G114" s="34" t="s">
        <v>14</v>
      </c>
      <c r="H114" s="35" t="s">
        <v>14</v>
      </c>
      <c r="I114" s="20" t="s">
        <v>14</v>
      </c>
      <c r="J114" s="20" t="s">
        <v>14</v>
      </c>
      <c r="K114" s="20" t="s">
        <v>14</v>
      </c>
      <c r="L114" s="20" t="s">
        <v>14</v>
      </c>
      <c r="M114" s="20" t="s">
        <v>14</v>
      </c>
      <c r="N114" s="20" t="s">
        <v>14</v>
      </c>
      <c r="O114" s="20" t="s">
        <v>14</v>
      </c>
      <c r="P114" s="20" t="s">
        <v>14</v>
      </c>
      <c r="Q114" s="20" t="s">
        <v>14</v>
      </c>
      <c r="R114" s="20" t="s">
        <v>14</v>
      </c>
      <c r="S114" s="20" t="s">
        <v>14</v>
      </c>
      <c r="T114" s="20" t="s">
        <v>14</v>
      </c>
      <c r="U114" s="20" t="s">
        <v>14</v>
      </c>
    </row>
    <row r="115" spans="1:21" ht="12.6" customHeight="1">
      <c r="A115" s="63" t="s">
        <v>330</v>
      </c>
      <c r="C115" s="21" t="s">
        <v>14</v>
      </c>
      <c r="D115" s="34" t="s">
        <v>14</v>
      </c>
      <c r="E115" s="21" t="s">
        <v>14</v>
      </c>
      <c r="F115" s="21" t="s">
        <v>14</v>
      </c>
      <c r="G115" s="34" t="s">
        <v>14</v>
      </c>
      <c r="H115" s="35" t="s">
        <v>14</v>
      </c>
      <c r="I115" s="20" t="s">
        <v>14</v>
      </c>
      <c r="J115" s="20" t="s">
        <v>14</v>
      </c>
      <c r="K115" s="20" t="s">
        <v>14</v>
      </c>
      <c r="L115" s="20" t="s">
        <v>14</v>
      </c>
      <c r="M115" s="20" t="s">
        <v>14</v>
      </c>
      <c r="N115" s="20" t="s">
        <v>14</v>
      </c>
      <c r="O115" s="20" t="s">
        <v>14</v>
      </c>
      <c r="P115" s="20" t="s">
        <v>14</v>
      </c>
      <c r="Q115" s="20" t="s">
        <v>14</v>
      </c>
      <c r="R115" s="20" t="s">
        <v>14</v>
      </c>
      <c r="S115" s="20" t="s">
        <v>14</v>
      </c>
      <c r="T115" s="20" t="s">
        <v>14</v>
      </c>
      <c r="U115" s="20" t="s">
        <v>14</v>
      </c>
    </row>
  </sheetData>
  <sheetProtection password="990B" sheet="1" objects="1" scenarios="1"/>
  <phoneticPr fontId="0" type="noConversion"/>
  <pageMargins left="0.3" right="0" top="0.5" bottom="0" header="0.59055118110236204" footer="0.511811023622047"/>
  <pageSetup orientation="landscape" r:id="rId1"/>
  <headerFooter alignWithMargins="0">
    <oddHeader>&amp;R&amp;9(&amp;P of &amp;N)</oddHeader>
  </headerFooter>
  <rowBreaks count="2" manualBreakCount="2">
    <brk id="43" max="16383" man="1"/>
    <brk id="75" max="16383" man="1"/>
  </rowBreaks>
  <ignoredErrors>
    <ignoredError sqref="E86:E94 N24:O24 P25 N34:O34 N42 L53:P53 L76:P76 N54:O54 N91:P91 N94:P94 L99:N99 N108:P108 L114:P115 P87 E23 N38:P38 N97:P97 P95 N96:O96 N111:O111 N77:O77 N48:O48 E37:E38 P92:P93 P89:P90 E22 P30 N41:P41 N88:O88 N32:O32 E77:E79 E83 P51:P52 P103:P104 E24:E25 E29:E35 P35 E27 E26 P102" unlockedFormula="1"/>
    <ignoredError sqref="C39"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U103"/>
  <sheetViews>
    <sheetView zoomScaleNormal="100" workbookViewId="0"/>
  </sheetViews>
  <sheetFormatPr defaultColWidth="9.140625" defaultRowHeight="12.6" customHeight="1"/>
  <cols>
    <col min="1" max="1" width="8.7109375" style="63" customWidth="1"/>
    <col min="2" max="2" width="22.140625" style="63" customWidth="1"/>
    <col min="3" max="3" width="6.28515625" style="20" customWidth="1"/>
    <col min="4" max="4" width="6.5703125" style="142" customWidth="1"/>
    <col min="5" max="5" width="6.28515625" style="20" customWidth="1"/>
    <col min="6" max="6" width="4.7109375" style="21" customWidth="1"/>
    <col min="7" max="7" width="4.7109375" style="34" customWidth="1"/>
    <col min="8" max="8" width="4.7109375" style="35" customWidth="1"/>
    <col min="9" max="11" width="4.7109375" style="20" customWidth="1"/>
    <col min="12" max="17" width="5.28515625" style="20" customWidth="1"/>
    <col min="18" max="18" width="7.140625" style="20" customWidth="1"/>
    <col min="19" max="20" width="5.28515625" style="20" customWidth="1"/>
    <col min="21" max="21" width="7.140625" style="20" customWidth="1"/>
    <col min="22" max="16384" width="9.140625" style="14"/>
  </cols>
  <sheetData>
    <row r="1" spans="1:21" s="26" customFormat="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R1" s="106" t="str">
        <f>i!B3</f>
        <v>.2018-09-01</v>
      </c>
      <c r="S1" s="9"/>
      <c r="T1" s="25" t="s">
        <v>14</v>
      </c>
      <c r="U1" s="9" t="s">
        <v>14</v>
      </c>
    </row>
    <row r="2" spans="1:21" ht="12.6" customHeight="1">
      <c r="A2" s="26" t="str">
        <f>i!A3</f>
        <v>v.34</v>
      </c>
      <c r="F2" s="25"/>
      <c r="G2" s="47"/>
      <c r="H2" s="76"/>
      <c r="I2" s="9"/>
      <c r="J2" s="46"/>
      <c r="K2" s="9"/>
      <c r="L2" s="9"/>
      <c r="M2" s="10"/>
      <c r="N2" s="36"/>
      <c r="O2" s="10"/>
      <c r="P2" s="36"/>
      <c r="Q2" s="10"/>
      <c r="R2" s="36"/>
      <c r="S2" s="36"/>
      <c r="T2" s="10"/>
      <c r="U2" s="36"/>
    </row>
    <row r="3" spans="1:21" s="24" customFormat="1" ht="12.6" customHeight="1">
      <c r="A3" s="24" t="s">
        <v>1113</v>
      </c>
      <c r="C3" s="37" t="s">
        <v>14</v>
      </c>
      <c r="D3" s="119" t="s">
        <v>14</v>
      </c>
      <c r="E3" s="37" t="s">
        <v>14</v>
      </c>
      <c r="F3" s="143" t="s">
        <v>14</v>
      </c>
      <c r="G3" s="39" t="s">
        <v>14</v>
      </c>
      <c r="H3" s="39" t="s">
        <v>14</v>
      </c>
      <c r="I3" s="39" t="s">
        <v>14</v>
      </c>
      <c r="J3" s="36" t="s">
        <v>14</v>
      </c>
      <c r="K3" s="39" t="s">
        <v>14</v>
      </c>
      <c r="L3" s="144" t="s">
        <v>14</v>
      </c>
      <c r="M3" s="43" t="s">
        <v>14</v>
      </c>
      <c r="N3" s="43" t="s">
        <v>15</v>
      </c>
      <c r="O3" s="43" t="s">
        <v>14</v>
      </c>
      <c r="P3" s="179" t="s">
        <v>14</v>
      </c>
      <c r="Q3" s="125"/>
      <c r="R3" s="50" t="s">
        <v>16</v>
      </c>
      <c r="S3" s="36"/>
      <c r="T3" s="43" t="s">
        <v>14</v>
      </c>
      <c r="U3" s="52" t="s">
        <v>14</v>
      </c>
    </row>
    <row r="4" spans="1:21" s="26" customFormat="1" ht="12.6" customHeight="1">
      <c r="B4" s="24"/>
      <c r="C4" s="9" t="s">
        <v>4</v>
      </c>
      <c r="D4" s="10" t="s">
        <v>9</v>
      </c>
      <c r="E4" s="25" t="s">
        <v>636</v>
      </c>
      <c r="F4" s="21" t="s">
        <v>11</v>
      </c>
      <c r="G4" s="48" t="s">
        <v>264</v>
      </c>
      <c r="H4" s="76" t="s">
        <v>5</v>
      </c>
      <c r="I4" s="9" t="s">
        <v>298</v>
      </c>
      <c r="J4" s="9" t="s">
        <v>299</v>
      </c>
      <c r="K4" s="50" t="s">
        <v>300</v>
      </c>
      <c r="L4" s="51" t="s">
        <v>450</v>
      </c>
      <c r="M4" s="52"/>
      <c r="N4" s="53" t="s">
        <v>17</v>
      </c>
      <c r="O4" s="36"/>
      <c r="P4" s="56"/>
      <c r="Q4" s="43" t="s">
        <v>451</v>
      </c>
      <c r="R4" s="62"/>
      <c r="S4" s="121"/>
      <c r="T4" s="50" t="s">
        <v>7</v>
      </c>
      <c r="U4" s="50"/>
    </row>
    <row r="5" spans="1:21" s="26" customFormat="1" ht="12.6" customHeight="1">
      <c r="A5" s="57" t="s">
        <v>14</v>
      </c>
      <c r="B5" s="57" t="s">
        <v>14</v>
      </c>
      <c r="C5" s="36" t="s">
        <v>18</v>
      </c>
      <c r="D5" s="71" t="s">
        <v>14</v>
      </c>
      <c r="E5" s="36"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6" customFormat="1" ht="12.6" customHeight="1">
      <c r="A6" s="137" t="s">
        <v>692</v>
      </c>
      <c r="B6" s="130"/>
      <c r="C6" s="43"/>
      <c r="D6" s="131"/>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ht="12.6" customHeight="1">
      <c r="A7" s="73" t="s">
        <v>32</v>
      </c>
      <c r="B7" s="46" t="s">
        <v>700</v>
      </c>
      <c r="C7" s="9">
        <v>28</v>
      </c>
      <c r="D7" s="10">
        <v>1.4</v>
      </c>
      <c r="E7" s="9">
        <f t="shared" ref="E7" si="0">1.6*C7</f>
        <v>44.800000000000004</v>
      </c>
      <c r="F7" s="200" t="s">
        <v>576</v>
      </c>
      <c r="G7" s="75">
        <v>0.3</v>
      </c>
      <c r="H7" s="76">
        <v>1.39</v>
      </c>
      <c r="I7" s="9">
        <v>137</v>
      </c>
      <c r="J7" s="9">
        <v>108.9</v>
      </c>
      <c r="K7" s="10">
        <v>95</v>
      </c>
      <c r="L7" s="65">
        <f>AVERAGE(2850)</f>
        <v>2850</v>
      </c>
      <c r="M7" s="9" t="s">
        <v>874</v>
      </c>
      <c r="N7" s="65">
        <f>AVERAGE(3704,3472,4148,4083,3952,3952)</f>
        <v>3885.1666666666665</v>
      </c>
      <c r="O7" s="25" t="s">
        <v>1153</v>
      </c>
      <c r="P7" s="65" t="s">
        <v>14</v>
      </c>
      <c r="Q7" s="9" t="s">
        <v>14</v>
      </c>
      <c r="R7" s="50" t="s">
        <v>14</v>
      </c>
      <c r="S7" s="65">
        <v>3962</v>
      </c>
      <c r="T7" s="9" t="s">
        <v>1061</v>
      </c>
      <c r="U7" s="50" t="s">
        <v>28</v>
      </c>
    </row>
    <row r="8" spans="1:21" ht="12.6" customHeight="1">
      <c r="A8" s="73" t="s">
        <v>32</v>
      </c>
      <c r="B8" s="46" t="s">
        <v>618</v>
      </c>
      <c r="C8" s="9">
        <v>55</v>
      </c>
      <c r="D8" s="10">
        <v>1.4</v>
      </c>
      <c r="E8" s="9">
        <f t="shared" ref="E8" si="1">1.6*C8</f>
        <v>88</v>
      </c>
      <c r="F8" s="200" t="s">
        <v>576</v>
      </c>
      <c r="G8" s="75">
        <v>0.5</v>
      </c>
      <c r="H8" s="76">
        <v>1.03</v>
      </c>
      <c r="I8" s="9">
        <v>127.3</v>
      </c>
      <c r="J8" s="9">
        <v>92.4</v>
      </c>
      <c r="K8" s="10">
        <v>77</v>
      </c>
      <c r="L8" s="65">
        <f>AVERAGE(2225,2250,2442,2025,2025,2500,2483,2501)</f>
        <v>2306.375</v>
      </c>
      <c r="M8" s="9" t="s">
        <v>1118</v>
      </c>
      <c r="N8" s="65">
        <f>AVERAGE(2349,2442,2646,2850)</f>
        <v>2571.75</v>
      </c>
      <c r="O8" s="25" t="s">
        <v>1177</v>
      </c>
      <c r="P8" s="65">
        <v>2690</v>
      </c>
      <c r="Q8" s="9" t="s">
        <v>1153</v>
      </c>
      <c r="R8" s="50" t="s">
        <v>633</v>
      </c>
      <c r="S8" s="65">
        <v>3392</v>
      </c>
      <c r="T8" s="9" t="s">
        <v>1153</v>
      </c>
      <c r="U8" s="50" t="s">
        <v>28</v>
      </c>
    </row>
    <row r="9" spans="1:21" ht="12.6" customHeight="1">
      <c r="A9" s="73" t="s">
        <v>32</v>
      </c>
      <c r="B9" s="46" t="s">
        <v>671</v>
      </c>
      <c r="C9" s="9">
        <v>85</v>
      </c>
      <c r="D9" s="10">
        <v>1.4</v>
      </c>
      <c r="E9" s="9">
        <f>1.6*C9</f>
        <v>136</v>
      </c>
      <c r="F9" s="200" t="s">
        <v>576</v>
      </c>
      <c r="G9" s="75">
        <v>0.8</v>
      </c>
      <c r="H9" s="76">
        <v>1.2</v>
      </c>
      <c r="I9" s="9">
        <v>124</v>
      </c>
      <c r="J9" s="9">
        <v>101</v>
      </c>
      <c r="K9" s="10">
        <v>86</v>
      </c>
      <c r="L9" s="65">
        <f>AVERAGE(2698,2157)</f>
        <v>2427.5</v>
      </c>
      <c r="M9" s="25" t="s">
        <v>1153</v>
      </c>
      <c r="N9" s="65">
        <f>AVERAGE(3663,3250,3765,3500,3675,3500,3695,3306,3516,3541)</f>
        <v>3541.1</v>
      </c>
      <c r="O9" s="25" t="s">
        <v>1171</v>
      </c>
      <c r="P9" s="65">
        <v>3280</v>
      </c>
      <c r="Q9" s="9" t="s">
        <v>1153</v>
      </c>
      <c r="R9" s="50" t="s">
        <v>633</v>
      </c>
      <c r="S9" s="65">
        <v>3800</v>
      </c>
      <c r="T9" s="9" t="s">
        <v>1153</v>
      </c>
      <c r="U9" s="50" t="s">
        <v>28</v>
      </c>
    </row>
    <row r="10" spans="1:21" s="26" customFormat="1" ht="12.6" customHeight="1">
      <c r="A10" s="137" t="s">
        <v>691</v>
      </c>
      <c r="B10" s="130"/>
      <c r="C10" s="43"/>
      <c r="D10" s="131"/>
      <c r="E10" s="43" t="s">
        <v>14</v>
      </c>
      <c r="F10" s="135" t="s">
        <v>14</v>
      </c>
      <c r="G10" s="138" t="s">
        <v>14</v>
      </c>
      <c r="H10" s="134" t="s">
        <v>14</v>
      </c>
      <c r="I10" s="43" t="s">
        <v>14</v>
      </c>
      <c r="J10" s="43" t="s">
        <v>14</v>
      </c>
      <c r="K10" s="43" t="s">
        <v>14</v>
      </c>
      <c r="L10" s="43" t="s">
        <v>14</v>
      </c>
      <c r="M10" s="43" t="s">
        <v>14</v>
      </c>
      <c r="N10" s="43" t="s">
        <v>14</v>
      </c>
      <c r="O10" s="43" t="s">
        <v>14</v>
      </c>
      <c r="P10" s="43" t="s">
        <v>14</v>
      </c>
      <c r="Q10" s="43" t="s">
        <v>14</v>
      </c>
      <c r="R10" s="43" t="s">
        <v>14</v>
      </c>
      <c r="S10" s="43" t="s">
        <v>14</v>
      </c>
      <c r="T10" s="43" t="s">
        <v>14</v>
      </c>
      <c r="U10" s="43" t="s">
        <v>14</v>
      </c>
    </row>
    <row r="11" spans="1:21" ht="12" customHeight="1">
      <c r="A11" s="73" t="s">
        <v>32</v>
      </c>
      <c r="B11" s="46" t="s">
        <v>893</v>
      </c>
      <c r="C11" s="9">
        <v>15</v>
      </c>
      <c r="D11" s="10">
        <v>2.8</v>
      </c>
      <c r="E11" s="9">
        <f t="shared" ref="E11:E13" si="2">1.6*C11</f>
        <v>24</v>
      </c>
      <c r="F11" s="200" t="s">
        <v>576</v>
      </c>
      <c r="G11" s="75">
        <v>0.25</v>
      </c>
      <c r="H11" s="76">
        <v>0.94699999999999995</v>
      </c>
      <c r="I11" s="9">
        <v>100.2</v>
      </c>
      <c r="J11" s="9">
        <v>102.3</v>
      </c>
      <c r="K11" s="10">
        <v>95</v>
      </c>
      <c r="L11" s="65">
        <f t="shared" ref="L11:L12" si="3">AVERAGE(0)</f>
        <v>0</v>
      </c>
      <c r="M11" s="25" t="s">
        <v>14</v>
      </c>
      <c r="N11" s="136">
        <f>AVERAGE(2269)</f>
        <v>2269</v>
      </c>
      <c r="O11" s="25" t="s">
        <v>954</v>
      </c>
      <c r="P11" s="65">
        <v>1904</v>
      </c>
      <c r="Q11" s="9" t="s">
        <v>1002</v>
      </c>
      <c r="R11" s="50" t="s">
        <v>30</v>
      </c>
      <c r="S11" s="65">
        <v>2065</v>
      </c>
      <c r="T11" s="9" t="s">
        <v>1002</v>
      </c>
      <c r="U11" s="50" t="s">
        <v>30</v>
      </c>
    </row>
    <row r="12" spans="1:21" ht="12" customHeight="1">
      <c r="A12" s="73" t="s">
        <v>32</v>
      </c>
      <c r="B12" s="46" t="s">
        <v>894</v>
      </c>
      <c r="C12" s="9">
        <v>18</v>
      </c>
      <c r="D12" s="10">
        <v>2.8</v>
      </c>
      <c r="E12" s="9">
        <f t="shared" si="2"/>
        <v>28.8</v>
      </c>
      <c r="F12" s="200" t="s">
        <v>576</v>
      </c>
      <c r="G12" s="75">
        <v>0.25</v>
      </c>
      <c r="H12" s="76">
        <v>0.72099999999999997</v>
      </c>
      <c r="I12" s="9">
        <v>93</v>
      </c>
      <c r="J12" s="9">
        <v>90</v>
      </c>
      <c r="K12" s="10">
        <v>77</v>
      </c>
      <c r="L12" s="65">
        <f t="shared" si="3"/>
        <v>0</v>
      </c>
      <c r="M12" s="25" t="s">
        <v>14</v>
      </c>
      <c r="N12" s="65">
        <f t="shared" ref="N12" si="4">AVERAGE(0)</f>
        <v>0</v>
      </c>
      <c r="O12" s="25" t="s">
        <v>14</v>
      </c>
      <c r="P12" s="65" t="s">
        <v>14</v>
      </c>
      <c r="Q12" s="9" t="s">
        <v>14</v>
      </c>
      <c r="R12" s="50" t="s">
        <v>14</v>
      </c>
      <c r="S12" s="136">
        <f>2500*CA.US</f>
        <v>1900</v>
      </c>
      <c r="T12" s="9" t="s">
        <v>1153</v>
      </c>
      <c r="U12" s="50" t="s">
        <v>873</v>
      </c>
    </row>
    <row r="13" spans="1:21" ht="12" customHeight="1">
      <c r="A13" s="73" t="s">
        <v>32</v>
      </c>
      <c r="B13" s="46" t="s">
        <v>796</v>
      </c>
      <c r="C13" s="9">
        <v>21</v>
      </c>
      <c r="D13" s="10">
        <v>2.8</v>
      </c>
      <c r="E13" s="9">
        <f t="shared" si="2"/>
        <v>33.6</v>
      </c>
      <c r="F13" s="200" t="s">
        <v>576</v>
      </c>
      <c r="G13" s="75">
        <v>0.22</v>
      </c>
      <c r="H13" s="76">
        <v>0.85099999999999998</v>
      </c>
      <c r="I13" s="9">
        <v>95</v>
      </c>
      <c r="J13" s="9">
        <v>95.5</v>
      </c>
      <c r="K13" s="10">
        <v>82</v>
      </c>
      <c r="L13" s="65">
        <f>AVERAGE(1050)</f>
        <v>1050</v>
      </c>
      <c r="M13" s="25" t="s">
        <v>954</v>
      </c>
      <c r="N13" s="65">
        <f>AVERAGE(1352,1399)</f>
        <v>1375.5</v>
      </c>
      <c r="O13" s="25" t="s">
        <v>892</v>
      </c>
      <c r="P13" s="65">
        <v>1275</v>
      </c>
      <c r="Q13" s="9" t="s">
        <v>1153</v>
      </c>
      <c r="R13" s="50" t="s">
        <v>30</v>
      </c>
      <c r="S13" s="65">
        <f>1650*CA.US</f>
        <v>1254</v>
      </c>
      <c r="T13" s="9" t="s">
        <v>1153</v>
      </c>
      <c r="U13" s="50" t="s">
        <v>327</v>
      </c>
    </row>
    <row r="14" spans="1:21" ht="14.25" customHeight="1">
      <c r="A14" s="73" t="s">
        <v>32</v>
      </c>
      <c r="B14" s="46" t="s">
        <v>973</v>
      </c>
      <c r="C14" s="9">
        <v>25</v>
      </c>
      <c r="D14" s="10">
        <v>1.4</v>
      </c>
      <c r="E14" s="9">
        <f t="shared" ref="E14:E15" si="5">1.6*C14</f>
        <v>40</v>
      </c>
      <c r="F14" s="200" t="s">
        <v>576</v>
      </c>
      <c r="G14" s="75">
        <v>0.25</v>
      </c>
      <c r="H14" s="76">
        <v>1.2250000000000001</v>
      </c>
      <c r="I14" s="9">
        <v>123</v>
      </c>
      <c r="J14" s="9">
        <v>95</v>
      </c>
      <c r="K14" s="10">
        <v>82</v>
      </c>
      <c r="L14" s="65">
        <f t="shared" ref="L14:L15" si="6">AVERAGE(0)</f>
        <v>0</v>
      </c>
      <c r="M14" s="9" t="s">
        <v>14</v>
      </c>
      <c r="N14" s="136">
        <f t="shared" ref="N14" si="7">AVERAGE(0)</f>
        <v>0</v>
      </c>
      <c r="O14" s="25" t="s">
        <v>14</v>
      </c>
      <c r="P14" s="65" t="s">
        <v>14</v>
      </c>
      <c r="Q14" s="9" t="s">
        <v>14</v>
      </c>
      <c r="R14" s="50" t="s">
        <v>14</v>
      </c>
      <c r="S14" s="65" t="s">
        <v>14</v>
      </c>
      <c r="T14" s="9" t="s">
        <v>14</v>
      </c>
      <c r="U14" s="50" t="s">
        <v>14</v>
      </c>
    </row>
    <row r="15" spans="1:21" ht="12.6" customHeight="1">
      <c r="A15" s="73" t="s">
        <v>32</v>
      </c>
      <c r="B15" s="46" t="s">
        <v>1003</v>
      </c>
      <c r="C15" s="9">
        <v>35</v>
      </c>
      <c r="D15" s="10">
        <v>1.4</v>
      </c>
      <c r="E15" s="9">
        <f t="shared" si="5"/>
        <v>56</v>
      </c>
      <c r="F15" s="200" t="s">
        <v>576</v>
      </c>
      <c r="G15" s="75" t="s">
        <v>14</v>
      </c>
      <c r="H15" s="76" t="s">
        <v>14</v>
      </c>
      <c r="I15" s="9" t="s">
        <v>14</v>
      </c>
      <c r="J15" s="9" t="s">
        <v>14</v>
      </c>
      <c r="K15" s="10" t="s">
        <v>14</v>
      </c>
      <c r="L15" s="65">
        <f t="shared" si="6"/>
        <v>0</v>
      </c>
      <c r="M15" s="25" t="s">
        <v>14</v>
      </c>
      <c r="N15" s="136">
        <f>AVERAGE(1799)</f>
        <v>1799</v>
      </c>
      <c r="O15" s="25" t="s">
        <v>1118</v>
      </c>
      <c r="P15" s="65">
        <v>1660</v>
      </c>
      <c r="Q15" s="9" t="s">
        <v>1153</v>
      </c>
      <c r="R15" s="50" t="s">
        <v>31</v>
      </c>
      <c r="S15" s="65" t="s">
        <v>14</v>
      </c>
      <c r="T15" s="9" t="s">
        <v>14</v>
      </c>
      <c r="U15" s="50" t="s">
        <v>14</v>
      </c>
    </row>
    <row r="16" spans="1:21" ht="12.6" customHeight="1">
      <c r="A16" s="73" t="s">
        <v>32</v>
      </c>
      <c r="B16" s="46" t="s">
        <v>693</v>
      </c>
      <c r="C16" s="9">
        <v>35</v>
      </c>
      <c r="D16" s="10">
        <v>2</v>
      </c>
      <c r="E16" s="9">
        <f t="shared" ref="E16" si="8">1.6*C16</f>
        <v>56</v>
      </c>
      <c r="F16" s="200" t="s">
        <v>576</v>
      </c>
      <c r="G16" s="75">
        <v>0.3</v>
      </c>
      <c r="H16" s="76">
        <v>0.70199999999999996</v>
      </c>
      <c r="I16" s="9">
        <v>83</v>
      </c>
      <c r="J16" s="9">
        <v>77</v>
      </c>
      <c r="K16" s="10">
        <v>58</v>
      </c>
      <c r="L16" s="65">
        <f>AVERAGE(608)</f>
        <v>608</v>
      </c>
      <c r="M16" s="25" t="s">
        <v>1153</v>
      </c>
      <c r="N16" s="136">
        <f>AVERAGE(1147,1117)</f>
        <v>1132</v>
      </c>
      <c r="O16" s="25" t="s">
        <v>892</v>
      </c>
      <c r="P16" s="65">
        <v>994</v>
      </c>
      <c r="Q16" s="9" t="s">
        <v>892</v>
      </c>
      <c r="R16" s="50" t="s">
        <v>31</v>
      </c>
      <c r="S16" s="65">
        <v>1000</v>
      </c>
      <c r="T16" s="9" t="s">
        <v>814</v>
      </c>
      <c r="U16" s="50" t="s">
        <v>31</v>
      </c>
    </row>
    <row r="17" spans="1:21" ht="12.6" customHeight="1">
      <c r="A17" s="73" t="s">
        <v>32</v>
      </c>
      <c r="B17" s="46" t="s">
        <v>797</v>
      </c>
      <c r="C17" s="9">
        <v>50</v>
      </c>
      <c r="D17" s="10">
        <v>1.4</v>
      </c>
      <c r="E17" s="9">
        <f>1.6*C17</f>
        <v>80</v>
      </c>
      <c r="F17" s="200" t="s">
        <v>576</v>
      </c>
      <c r="G17" s="75">
        <v>0.45</v>
      </c>
      <c r="H17" s="76">
        <v>0.92200000000000004</v>
      </c>
      <c r="I17" s="9">
        <v>97.5</v>
      </c>
      <c r="J17" s="9">
        <v>82.5</v>
      </c>
      <c r="K17" s="10">
        <v>67</v>
      </c>
      <c r="L17" s="65">
        <f>AVERAGE(740)</f>
        <v>740</v>
      </c>
      <c r="M17" s="25" t="s">
        <v>1118</v>
      </c>
      <c r="N17" s="65">
        <f>AVERAGE(850)</f>
        <v>850</v>
      </c>
      <c r="O17" s="25" t="s">
        <v>1177</v>
      </c>
      <c r="P17" s="65">
        <v>950</v>
      </c>
      <c r="Q17" s="9" t="s">
        <v>892</v>
      </c>
      <c r="R17" s="50" t="s">
        <v>31</v>
      </c>
      <c r="S17" s="65">
        <f>995*CA.US</f>
        <v>756.2</v>
      </c>
      <c r="T17" s="9" t="s">
        <v>1153</v>
      </c>
      <c r="U17" s="50" t="s">
        <v>873</v>
      </c>
    </row>
    <row r="18" spans="1:21" ht="12.6" customHeight="1">
      <c r="A18" s="73" t="s">
        <v>32</v>
      </c>
      <c r="B18" s="46" t="s">
        <v>798</v>
      </c>
      <c r="C18" s="9">
        <v>50</v>
      </c>
      <c r="D18" s="10">
        <v>2</v>
      </c>
      <c r="E18" s="9">
        <f>1.6*C18</f>
        <v>80</v>
      </c>
      <c r="F18" s="200" t="s">
        <v>576</v>
      </c>
      <c r="G18" s="75">
        <v>0.24</v>
      </c>
      <c r="H18" s="76">
        <v>0.73</v>
      </c>
      <c r="I18" s="9">
        <v>75</v>
      </c>
      <c r="J18" s="9">
        <v>81</v>
      </c>
      <c r="K18" s="10">
        <v>67</v>
      </c>
      <c r="L18" s="65">
        <f>AVERAGE(707,684)</f>
        <v>695.5</v>
      </c>
      <c r="M18" s="25" t="s">
        <v>1171</v>
      </c>
      <c r="N18" s="136">
        <f>AVERAGE(1283,1283,1297)</f>
        <v>1287.6666666666667</v>
      </c>
      <c r="O18" s="25" t="s">
        <v>817</v>
      </c>
      <c r="P18" s="65" t="s">
        <v>14</v>
      </c>
      <c r="Q18" s="9" t="s">
        <v>14</v>
      </c>
      <c r="R18" s="50" t="s">
        <v>14</v>
      </c>
      <c r="S18" s="65">
        <f>1145*CA.US</f>
        <v>870.2</v>
      </c>
      <c r="T18" s="9" t="s">
        <v>1153</v>
      </c>
      <c r="U18" s="50" t="s">
        <v>327</v>
      </c>
    </row>
    <row r="19" spans="1:21" ht="12.6" customHeight="1">
      <c r="A19" s="73" t="s">
        <v>32</v>
      </c>
      <c r="B19" s="46" t="s">
        <v>694</v>
      </c>
      <c r="C19" s="9">
        <v>85</v>
      </c>
      <c r="D19" s="10">
        <v>1.4</v>
      </c>
      <c r="E19" s="9">
        <f>1.6*C19</f>
        <v>136</v>
      </c>
      <c r="F19" s="200" t="s">
        <v>576</v>
      </c>
      <c r="G19" s="75">
        <v>0.8</v>
      </c>
      <c r="H19" s="76">
        <v>1.28</v>
      </c>
      <c r="I19" s="9">
        <v>113</v>
      </c>
      <c r="J19" s="9">
        <v>90</v>
      </c>
      <c r="K19" s="10">
        <v>77</v>
      </c>
      <c r="L19" s="65">
        <f t="shared" ref="L19:L21" si="9">AVERAGE(0)</f>
        <v>0</v>
      </c>
      <c r="M19" s="25" t="s">
        <v>14</v>
      </c>
      <c r="N19" s="136">
        <f>AVERAGE(1420,1460)</f>
        <v>1440</v>
      </c>
      <c r="O19" s="25" t="s">
        <v>1153</v>
      </c>
      <c r="P19" s="65">
        <v>1640</v>
      </c>
      <c r="Q19" s="9" t="s">
        <v>892</v>
      </c>
      <c r="R19" s="50" t="s">
        <v>31</v>
      </c>
      <c r="S19" s="65">
        <f>1990*CA.US</f>
        <v>1512.4</v>
      </c>
      <c r="T19" s="9" t="s">
        <v>1153</v>
      </c>
      <c r="U19" s="50" t="s">
        <v>327</v>
      </c>
    </row>
    <row r="20" spans="1:21" ht="12.6" customHeight="1">
      <c r="A20" s="73" t="s">
        <v>32</v>
      </c>
      <c r="B20" s="46" t="s">
        <v>695</v>
      </c>
      <c r="C20" s="9">
        <v>100</v>
      </c>
      <c r="D20" s="10">
        <v>2</v>
      </c>
      <c r="E20" s="9">
        <f t="shared" ref="E20:E21" si="10">1.6*C20</f>
        <v>160</v>
      </c>
      <c r="F20" s="200" t="s">
        <v>576</v>
      </c>
      <c r="G20" s="75">
        <v>0.44</v>
      </c>
      <c r="H20" s="76">
        <v>0.84299999999999997</v>
      </c>
      <c r="I20" s="9">
        <v>104</v>
      </c>
      <c r="J20" s="9">
        <v>80.5</v>
      </c>
      <c r="K20" s="10">
        <v>67</v>
      </c>
      <c r="L20" s="65">
        <f t="shared" si="9"/>
        <v>0</v>
      </c>
      <c r="M20" s="25" t="s">
        <v>14</v>
      </c>
      <c r="N20" s="136">
        <f>AVERAGE(1399)</f>
        <v>1399</v>
      </c>
      <c r="O20" s="25" t="s">
        <v>1153</v>
      </c>
      <c r="P20" s="65">
        <v>1350</v>
      </c>
      <c r="Q20" s="9" t="s">
        <v>1153</v>
      </c>
      <c r="R20" s="50" t="s">
        <v>633</v>
      </c>
      <c r="S20" s="65">
        <v>1600</v>
      </c>
      <c r="T20" s="9" t="s">
        <v>1153</v>
      </c>
      <c r="U20" s="50" t="s">
        <v>28</v>
      </c>
    </row>
    <row r="21" spans="1:21" ht="12.6" customHeight="1">
      <c r="A21" s="73" t="s">
        <v>32</v>
      </c>
      <c r="B21" s="46" t="s">
        <v>895</v>
      </c>
      <c r="C21" s="9">
        <v>135</v>
      </c>
      <c r="D21" s="10">
        <v>2</v>
      </c>
      <c r="E21" s="9">
        <f t="shared" si="10"/>
        <v>216</v>
      </c>
      <c r="F21" s="200" t="s">
        <v>576</v>
      </c>
      <c r="G21" s="75">
        <v>0.8</v>
      </c>
      <c r="H21" s="76">
        <v>1.123</v>
      </c>
      <c r="I21" s="9">
        <v>115</v>
      </c>
      <c r="J21" s="9">
        <v>89.7</v>
      </c>
      <c r="K21" s="10">
        <v>77</v>
      </c>
      <c r="L21" s="65">
        <f t="shared" si="9"/>
        <v>0</v>
      </c>
      <c r="M21" s="25" t="s">
        <v>14</v>
      </c>
      <c r="N21" s="136">
        <f>AVERAGE(1729)</f>
        <v>1729</v>
      </c>
      <c r="O21" s="25" t="s">
        <v>1153</v>
      </c>
      <c r="P21" s="65" t="s">
        <v>14</v>
      </c>
      <c r="Q21" s="9" t="s">
        <v>14</v>
      </c>
      <c r="R21" s="50" t="s">
        <v>14</v>
      </c>
      <c r="S21" s="65">
        <v>1810</v>
      </c>
      <c r="T21" s="9" t="s">
        <v>1153</v>
      </c>
      <c r="U21" s="50" t="s">
        <v>31</v>
      </c>
    </row>
    <row r="22" spans="1:21" s="26" customFormat="1" ht="12.6" customHeight="1">
      <c r="A22" s="137" t="s">
        <v>325</v>
      </c>
      <c r="B22" s="130"/>
      <c r="C22" s="43"/>
      <c r="D22" s="131"/>
      <c r="E22" s="43" t="s">
        <v>14</v>
      </c>
      <c r="F22" s="135" t="s">
        <v>14</v>
      </c>
      <c r="G22" s="138" t="s">
        <v>14</v>
      </c>
      <c r="H22" s="134" t="s">
        <v>14</v>
      </c>
      <c r="I22" s="43" t="s">
        <v>14</v>
      </c>
      <c r="J22" s="43" t="s">
        <v>14</v>
      </c>
      <c r="K22" s="43" t="s">
        <v>14</v>
      </c>
      <c r="L22" s="43" t="s">
        <v>14</v>
      </c>
      <c r="M22" s="43" t="s">
        <v>14</v>
      </c>
      <c r="N22" s="43" t="s">
        <v>14</v>
      </c>
      <c r="O22" s="43" t="s">
        <v>14</v>
      </c>
      <c r="P22" s="43" t="s">
        <v>14</v>
      </c>
      <c r="Q22" s="43" t="s">
        <v>14</v>
      </c>
      <c r="R22" s="43" t="s">
        <v>14</v>
      </c>
      <c r="S22" s="43" t="s">
        <v>14</v>
      </c>
      <c r="T22" s="43" t="s">
        <v>14</v>
      </c>
      <c r="U22" s="43" t="s">
        <v>14</v>
      </c>
    </row>
    <row r="23" spans="1:21" ht="12.6" customHeight="1">
      <c r="A23" s="73" t="s">
        <v>32</v>
      </c>
      <c r="B23" s="46" t="s">
        <v>658</v>
      </c>
      <c r="C23" s="9">
        <v>15</v>
      </c>
      <c r="D23" s="10">
        <v>2.8</v>
      </c>
      <c r="E23" s="9">
        <f t="shared" ref="E23" si="11">1.6*C23</f>
        <v>24</v>
      </c>
      <c r="F23" s="200" t="s">
        <v>576</v>
      </c>
      <c r="G23" s="75">
        <v>0.25</v>
      </c>
      <c r="H23" s="76">
        <v>0.82</v>
      </c>
      <c r="I23" s="9">
        <v>116</v>
      </c>
      <c r="J23" s="9">
        <v>103</v>
      </c>
      <c r="K23" s="10">
        <v>95</v>
      </c>
      <c r="L23" s="65">
        <f>AVERAGE(990,1100,1282,1250,1411,1252,1355,1282)</f>
        <v>1240.25</v>
      </c>
      <c r="M23" s="9" t="s">
        <v>1118</v>
      </c>
      <c r="N23" s="65">
        <f>AVERAGE(1213,1355)</f>
        <v>1284</v>
      </c>
      <c r="O23" s="25" t="s">
        <v>1110</v>
      </c>
      <c r="P23" s="65">
        <v>1360</v>
      </c>
      <c r="Q23" s="9" t="s">
        <v>1153</v>
      </c>
      <c r="R23" s="50" t="s">
        <v>28</v>
      </c>
      <c r="S23" s="65">
        <f>1895*CA.US</f>
        <v>1440.2</v>
      </c>
      <c r="T23" s="9" t="s">
        <v>953</v>
      </c>
      <c r="U23" s="50" t="s">
        <v>873</v>
      </c>
    </row>
    <row r="24" spans="1:21" ht="12.6" customHeight="1">
      <c r="A24" s="73" t="s">
        <v>32</v>
      </c>
      <c r="B24" s="46" t="s">
        <v>314</v>
      </c>
      <c r="C24" s="9">
        <v>18</v>
      </c>
      <c r="D24" s="10">
        <v>3.5</v>
      </c>
      <c r="E24" s="9">
        <f t="shared" ref="E24:E34" si="12">1.6*C24</f>
        <v>28.8</v>
      </c>
      <c r="F24" s="200" t="s">
        <v>576</v>
      </c>
      <c r="G24" s="75">
        <v>0.3</v>
      </c>
      <c r="H24" s="76">
        <v>0.51</v>
      </c>
      <c r="I24" s="9">
        <v>61</v>
      </c>
      <c r="J24" s="9">
        <v>87</v>
      </c>
      <c r="K24" s="10">
        <v>82</v>
      </c>
      <c r="L24" s="65">
        <f>AVERAGE(640,500,524,628,699,605,570,545,750,720)</f>
        <v>618.1</v>
      </c>
      <c r="M24" s="25" t="s">
        <v>1153</v>
      </c>
      <c r="N24" s="65">
        <f>AVERAGE(720,800,899,900)</f>
        <v>829.75</v>
      </c>
      <c r="O24" s="25" t="s">
        <v>1153</v>
      </c>
      <c r="P24" s="65">
        <v>1000</v>
      </c>
      <c r="Q24" s="9" t="s">
        <v>1153</v>
      </c>
      <c r="R24" s="50" t="s">
        <v>30</v>
      </c>
      <c r="S24" s="65">
        <v>1000</v>
      </c>
      <c r="T24" s="9" t="s">
        <v>892</v>
      </c>
      <c r="U24" s="50" t="s">
        <v>30</v>
      </c>
    </row>
    <row r="25" spans="1:21" ht="12.6" customHeight="1">
      <c r="A25" s="73" t="s">
        <v>32</v>
      </c>
      <c r="B25" s="46" t="s">
        <v>255</v>
      </c>
      <c r="C25" s="9">
        <v>21</v>
      </c>
      <c r="D25" s="10">
        <v>2.8</v>
      </c>
      <c r="E25" s="9">
        <f t="shared" si="12"/>
        <v>33.6</v>
      </c>
      <c r="F25" s="200" t="s">
        <v>576</v>
      </c>
      <c r="G25" s="75">
        <v>0.22</v>
      </c>
      <c r="H25" s="76">
        <v>0.72</v>
      </c>
      <c r="I25" s="9">
        <v>87</v>
      </c>
      <c r="J25" s="9">
        <v>87</v>
      </c>
      <c r="K25" s="10">
        <v>82</v>
      </c>
      <c r="L25" s="65">
        <f>AVERAGE(785,530,776,799,790,726,700,770,850,810,791,677,893)</f>
        <v>761.30769230769226</v>
      </c>
      <c r="M25" s="25" t="s">
        <v>1153</v>
      </c>
      <c r="N25" s="65">
        <f>AVERAGE(1098,1029,999,1199,1299,1014,1050)</f>
        <v>1098.2857142857142</v>
      </c>
      <c r="O25" s="25" t="s">
        <v>954</v>
      </c>
      <c r="P25" s="65">
        <v>820</v>
      </c>
      <c r="Q25" s="9" t="s">
        <v>1153</v>
      </c>
      <c r="R25" s="50" t="s">
        <v>633</v>
      </c>
      <c r="S25" s="65">
        <v>1150</v>
      </c>
      <c r="T25" s="9" t="s">
        <v>1153</v>
      </c>
      <c r="U25" s="50" t="s">
        <v>30</v>
      </c>
    </row>
    <row r="26" spans="1:21" ht="12.6" customHeight="1">
      <c r="A26" s="73" t="s">
        <v>32</v>
      </c>
      <c r="B26" s="46" t="s">
        <v>453</v>
      </c>
      <c r="C26" s="9">
        <v>25</v>
      </c>
      <c r="D26" s="10">
        <v>2</v>
      </c>
      <c r="E26" s="9">
        <f>1.6*C26</f>
        <v>40</v>
      </c>
      <c r="F26" s="200" t="s">
        <v>576</v>
      </c>
      <c r="G26" s="75">
        <v>0.25</v>
      </c>
      <c r="H26" s="76">
        <v>0.6</v>
      </c>
      <c r="I26" s="9">
        <v>74</v>
      </c>
      <c r="J26" s="9">
        <v>73</v>
      </c>
      <c r="K26" s="10">
        <v>67</v>
      </c>
      <c r="L26" s="65">
        <f>AVERAGE(445,417,485,740,811,836,868,836,863)</f>
        <v>700.11111111111109</v>
      </c>
      <c r="M26" s="25" t="s">
        <v>1153</v>
      </c>
      <c r="N26" s="65">
        <f>AVERAGE(1099,1025,975,1250,1299)</f>
        <v>1129.5999999999999</v>
      </c>
      <c r="O26" s="25" t="s">
        <v>874</v>
      </c>
      <c r="P26" s="65">
        <v>710</v>
      </c>
      <c r="Q26" s="9" t="s">
        <v>1153</v>
      </c>
      <c r="R26" s="50" t="s">
        <v>31</v>
      </c>
      <c r="S26" s="65">
        <f>1295*CA.US</f>
        <v>984.2</v>
      </c>
      <c r="T26" s="9" t="s">
        <v>953</v>
      </c>
      <c r="U26" s="50" t="s">
        <v>873</v>
      </c>
    </row>
    <row r="27" spans="1:21" ht="12.6" customHeight="1">
      <c r="A27" s="73" t="s">
        <v>32</v>
      </c>
      <c r="B27" s="46" t="s">
        <v>331</v>
      </c>
      <c r="C27" s="9">
        <v>28</v>
      </c>
      <c r="D27" s="10">
        <v>2</v>
      </c>
      <c r="E27" s="9">
        <f t="shared" si="12"/>
        <v>44.800000000000004</v>
      </c>
      <c r="F27" s="200" t="s">
        <v>576</v>
      </c>
      <c r="G27" s="75">
        <v>0.24</v>
      </c>
      <c r="H27" s="76">
        <v>0.57999999999999996</v>
      </c>
      <c r="I27" s="9">
        <v>72</v>
      </c>
      <c r="J27" s="9">
        <v>64</v>
      </c>
      <c r="K27" s="10">
        <v>58</v>
      </c>
      <c r="L27" s="65">
        <f>AVERAGE(510,409,575,600,595,510,732,749,500,520,665,665)</f>
        <v>585.83333333333337</v>
      </c>
      <c r="M27" s="25" t="s">
        <v>1153</v>
      </c>
      <c r="N27" s="65">
        <f>AVERAGE(749,870,728,950,907,1128,950,917,887,850)</f>
        <v>893.6</v>
      </c>
      <c r="O27" s="25" t="s">
        <v>952</v>
      </c>
      <c r="P27" s="65">
        <v>630</v>
      </c>
      <c r="Q27" s="9" t="s">
        <v>1153</v>
      </c>
      <c r="R27" s="50" t="s">
        <v>31</v>
      </c>
      <c r="S27" s="65">
        <v>725</v>
      </c>
      <c r="T27" s="9" t="s">
        <v>1153</v>
      </c>
      <c r="U27" s="50" t="s">
        <v>26</v>
      </c>
    </row>
    <row r="28" spans="1:21" ht="12.6" customHeight="1">
      <c r="A28" s="73" t="s">
        <v>32</v>
      </c>
      <c r="B28" s="46" t="s">
        <v>444</v>
      </c>
      <c r="C28" s="9">
        <v>35</v>
      </c>
      <c r="D28" s="10">
        <v>1.4</v>
      </c>
      <c r="E28" s="9">
        <f>1.6*C28</f>
        <v>56</v>
      </c>
      <c r="F28" s="200" t="s">
        <v>576</v>
      </c>
      <c r="G28" s="75">
        <v>0.3</v>
      </c>
      <c r="H28" s="76">
        <v>0.85</v>
      </c>
      <c r="I28" s="9">
        <v>98</v>
      </c>
      <c r="J28" s="9">
        <v>78</v>
      </c>
      <c r="K28" s="10">
        <v>72</v>
      </c>
      <c r="L28" s="65">
        <f>AVERAGE(611,519)</f>
        <v>565</v>
      </c>
      <c r="M28" s="25" t="s">
        <v>1118</v>
      </c>
      <c r="N28" s="65">
        <f>AVERAGE(1220,932,825,824,816)</f>
        <v>923.4</v>
      </c>
      <c r="O28" s="25" t="s">
        <v>1171</v>
      </c>
      <c r="P28" s="65">
        <v>980</v>
      </c>
      <c r="Q28" s="9" t="s">
        <v>1153</v>
      </c>
      <c r="R28" s="50" t="s">
        <v>633</v>
      </c>
      <c r="S28" s="65">
        <v>1300</v>
      </c>
      <c r="T28" s="9" t="s">
        <v>1091</v>
      </c>
      <c r="U28" s="50" t="s">
        <v>30</v>
      </c>
    </row>
    <row r="29" spans="1:21" ht="12.6" customHeight="1">
      <c r="A29" s="73" t="s">
        <v>32</v>
      </c>
      <c r="B29" s="46" t="s">
        <v>332</v>
      </c>
      <c r="C29" s="9">
        <v>35</v>
      </c>
      <c r="D29" s="10">
        <v>2</v>
      </c>
      <c r="E29" s="9">
        <f t="shared" si="12"/>
        <v>56</v>
      </c>
      <c r="F29" s="200" t="s">
        <v>576</v>
      </c>
      <c r="G29" s="75">
        <v>0.3</v>
      </c>
      <c r="H29" s="76">
        <v>0.56999999999999995</v>
      </c>
      <c r="I29" s="9">
        <v>75</v>
      </c>
      <c r="J29" s="9">
        <v>72.7</v>
      </c>
      <c r="K29" s="10">
        <v>58</v>
      </c>
      <c r="L29" s="65">
        <f>AVERAGE(480,405,450,400,400,580,530,471,425)</f>
        <v>460.11111111111109</v>
      </c>
      <c r="M29" s="25" t="s">
        <v>1153</v>
      </c>
      <c r="N29" s="65">
        <f>AVERAGE(600,525,598,779,692,800,708)</f>
        <v>671.71428571428567</v>
      </c>
      <c r="O29" s="25" t="s">
        <v>1153</v>
      </c>
      <c r="P29" s="65">
        <v>650</v>
      </c>
      <c r="Q29" s="9" t="s">
        <v>1153</v>
      </c>
      <c r="R29" s="50" t="s">
        <v>28</v>
      </c>
      <c r="S29" s="65">
        <f>1150*CA.US</f>
        <v>874</v>
      </c>
      <c r="T29" s="9" t="s">
        <v>953</v>
      </c>
      <c r="U29" s="50" t="s">
        <v>873</v>
      </c>
    </row>
    <row r="30" spans="1:21" ht="12.6" customHeight="1">
      <c r="A30" s="73" t="s">
        <v>32</v>
      </c>
      <c r="B30" s="46" t="s">
        <v>256</v>
      </c>
      <c r="C30" s="9">
        <v>50</v>
      </c>
      <c r="D30" s="10">
        <v>1.4</v>
      </c>
      <c r="E30" s="9">
        <f>1.6*C30</f>
        <v>80</v>
      </c>
      <c r="F30" s="200" t="s">
        <v>576</v>
      </c>
      <c r="G30" s="75">
        <v>0.45</v>
      </c>
      <c r="H30" s="76">
        <v>0.38</v>
      </c>
      <c r="I30" s="9">
        <v>48</v>
      </c>
      <c r="J30" s="9">
        <v>71.3</v>
      </c>
      <c r="K30" s="10">
        <v>58</v>
      </c>
      <c r="L30" s="65">
        <f>AVERAGE(360,260,325,360,284,249,288,432,366,338,355,330,305,350)</f>
        <v>328.71428571428572</v>
      </c>
      <c r="M30" s="25" t="s">
        <v>1171</v>
      </c>
      <c r="N30" s="65">
        <f>AVERAGE(460,380,538,450,427,565,550,518,544,468,478,468)</f>
        <v>487.16666666666669</v>
      </c>
      <c r="O30" s="25" t="s">
        <v>1153</v>
      </c>
      <c r="P30" s="65">
        <v>432</v>
      </c>
      <c r="Q30" s="9" t="s">
        <v>1153</v>
      </c>
      <c r="R30" s="50" t="s">
        <v>28</v>
      </c>
      <c r="S30" s="65">
        <v>490</v>
      </c>
      <c r="T30" s="9" t="s">
        <v>1153</v>
      </c>
      <c r="U30" s="50" t="s">
        <v>28</v>
      </c>
    </row>
    <row r="31" spans="1:21" ht="12.6" customHeight="1">
      <c r="A31" s="73" t="s">
        <v>32</v>
      </c>
      <c r="B31" s="46" t="s">
        <v>443</v>
      </c>
      <c r="C31" s="9">
        <v>50</v>
      </c>
      <c r="D31" s="10">
        <v>2</v>
      </c>
      <c r="E31" s="9">
        <f>1.6*C31</f>
        <v>80</v>
      </c>
      <c r="F31" s="200" t="s">
        <v>576</v>
      </c>
      <c r="G31" s="75">
        <v>0.24</v>
      </c>
      <c r="H31" s="76">
        <v>0.56999999999999995</v>
      </c>
      <c r="I31" s="9">
        <v>67</v>
      </c>
      <c r="J31" s="9">
        <v>75.400000000000006</v>
      </c>
      <c r="K31" s="10">
        <v>67</v>
      </c>
      <c r="L31" s="65">
        <f>AVERAGE(460,350,409,450,449)</f>
        <v>423.6</v>
      </c>
      <c r="M31" s="25" t="s">
        <v>1153</v>
      </c>
      <c r="N31" s="65">
        <f>AVERAGE(499,599)</f>
        <v>549</v>
      </c>
      <c r="O31" s="25" t="s">
        <v>1118</v>
      </c>
      <c r="P31" s="65">
        <v>700</v>
      </c>
      <c r="Q31" s="9" t="s">
        <v>1153</v>
      </c>
      <c r="R31" s="50" t="s">
        <v>30</v>
      </c>
      <c r="S31" s="65">
        <v>880</v>
      </c>
      <c r="T31" s="9" t="s">
        <v>1153</v>
      </c>
      <c r="U31" s="50" t="s">
        <v>30</v>
      </c>
    </row>
    <row r="32" spans="1:21" ht="12.6" customHeight="1">
      <c r="A32" s="73" t="s">
        <v>32</v>
      </c>
      <c r="B32" s="73" t="s">
        <v>254</v>
      </c>
      <c r="C32" s="9">
        <v>85</v>
      </c>
      <c r="D32" s="10">
        <v>1.4</v>
      </c>
      <c r="E32" s="9">
        <f>1.6*C32</f>
        <v>136</v>
      </c>
      <c r="F32" s="64" t="s">
        <v>576</v>
      </c>
      <c r="G32" s="75">
        <v>1</v>
      </c>
      <c r="H32" s="76">
        <v>0.67</v>
      </c>
      <c r="I32" s="9">
        <v>65</v>
      </c>
      <c r="J32" s="9">
        <v>78</v>
      </c>
      <c r="K32" s="9">
        <v>72</v>
      </c>
      <c r="L32" s="65">
        <f>AVERAGE(545,530,390,499,570,679,510,494,678,464,493,521,511,491)</f>
        <v>526.78571428571433</v>
      </c>
      <c r="M32" s="50" t="s">
        <v>1153</v>
      </c>
      <c r="N32" s="9">
        <f>AVERAGE(689,695,620,626,717,745,700,804,859,789)</f>
        <v>724.4</v>
      </c>
      <c r="O32" s="9" t="s">
        <v>954</v>
      </c>
      <c r="P32" s="65">
        <v>690</v>
      </c>
      <c r="Q32" s="9" t="s">
        <v>1153</v>
      </c>
      <c r="R32" s="50" t="s">
        <v>31</v>
      </c>
      <c r="S32" s="65">
        <v>960</v>
      </c>
      <c r="T32" s="9" t="s">
        <v>1153</v>
      </c>
      <c r="U32" s="50" t="s">
        <v>28</v>
      </c>
    </row>
    <row r="33" spans="1:21" ht="12.6" customHeight="1">
      <c r="A33" s="73" t="s">
        <v>32</v>
      </c>
      <c r="B33" s="46" t="s">
        <v>449</v>
      </c>
      <c r="C33" s="9">
        <v>100</v>
      </c>
      <c r="D33" s="10">
        <v>2</v>
      </c>
      <c r="E33" s="9">
        <f t="shared" ref="E33" si="13">1.6*C33</f>
        <v>160</v>
      </c>
      <c r="F33" s="200" t="s">
        <v>576</v>
      </c>
      <c r="G33" s="75">
        <v>0.44</v>
      </c>
      <c r="H33" s="76">
        <v>0.68</v>
      </c>
      <c r="I33" s="9">
        <v>91</v>
      </c>
      <c r="J33" s="9">
        <v>76</v>
      </c>
      <c r="K33" s="10">
        <v>67</v>
      </c>
      <c r="L33" s="65">
        <f>AVERAGE(634,622,630,700,721,726,738,749,899,760,770)</f>
        <v>722.63636363636363</v>
      </c>
      <c r="M33" s="25" t="s">
        <v>1153</v>
      </c>
      <c r="N33" s="65">
        <f>AVERAGE(1030)</f>
        <v>1030</v>
      </c>
      <c r="O33" s="25" t="s">
        <v>954</v>
      </c>
      <c r="P33" s="65">
        <v>980</v>
      </c>
      <c r="Q33" s="9" t="s">
        <v>1153</v>
      </c>
      <c r="R33" s="50" t="s">
        <v>633</v>
      </c>
      <c r="S33" s="65">
        <v>1220</v>
      </c>
      <c r="T33" s="9" t="s">
        <v>1153</v>
      </c>
      <c r="U33" s="50" t="s">
        <v>28</v>
      </c>
    </row>
    <row r="34" spans="1:21" ht="12.6" customHeight="1">
      <c r="A34" s="73" t="s">
        <v>32</v>
      </c>
      <c r="B34" s="46" t="s">
        <v>491</v>
      </c>
      <c r="C34" s="9">
        <v>135</v>
      </c>
      <c r="D34" s="10">
        <v>2</v>
      </c>
      <c r="E34" s="9">
        <f t="shared" si="12"/>
        <v>216</v>
      </c>
      <c r="F34" s="200" t="s">
        <v>576</v>
      </c>
      <c r="G34" s="75">
        <v>0.8</v>
      </c>
      <c r="H34" s="76">
        <v>0.93</v>
      </c>
      <c r="I34" s="9">
        <v>108</v>
      </c>
      <c r="J34" s="9">
        <v>84</v>
      </c>
      <c r="K34" s="10">
        <v>77</v>
      </c>
      <c r="L34" s="65">
        <f>AVERAGE(182,841,980)</f>
        <v>667.66666666666663</v>
      </c>
      <c r="M34" s="25" t="s">
        <v>1153</v>
      </c>
      <c r="N34" s="65">
        <f>AVERAGE(1273,1169,1100)</f>
        <v>1180.6666666666667</v>
      </c>
      <c r="O34" s="25" t="s">
        <v>1118</v>
      </c>
      <c r="P34" s="65">
        <v>1096</v>
      </c>
      <c r="Q34" s="9" t="s">
        <v>1153</v>
      </c>
      <c r="R34" s="50" t="s">
        <v>30</v>
      </c>
      <c r="S34" s="65">
        <v>1130</v>
      </c>
      <c r="T34" s="9" t="s">
        <v>1061</v>
      </c>
      <c r="U34" s="50" t="s">
        <v>30</v>
      </c>
    </row>
    <row r="35" spans="1:21" s="26" customFormat="1" ht="12.6" customHeight="1">
      <c r="A35" s="137" t="s">
        <v>1206</v>
      </c>
      <c r="B35" s="130"/>
      <c r="C35" s="43"/>
      <c r="D35" s="131"/>
      <c r="E35" s="43"/>
      <c r="F35" s="135"/>
      <c r="G35" s="138" t="s">
        <v>14</v>
      </c>
      <c r="H35" s="134" t="s">
        <v>14</v>
      </c>
      <c r="I35" s="43" t="s">
        <v>14</v>
      </c>
      <c r="J35" s="43" t="s">
        <v>14</v>
      </c>
      <c r="K35" s="43" t="s">
        <v>14</v>
      </c>
      <c r="L35" s="43" t="s">
        <v>14</v>
      </c>
      <c r="M35" s="43" t="s">
        <v>14</v>
      </c>
      <c r="N35" s="43" t="s">
        <v>14</v>
      </c>
      <c r="O35" s="43" t="s">
        <v>14</v>
      </c>
      <c r="P35" s="43" t="s">
        <v>14</v>
      </c>
      <c r="Q35" s="43" t="s">
        <v>14</v>
      </c>
      <c r="R35" s="43" t="s">
        <v>14</v>
      </c>
      <c r="S35" s="43" t="s">
        <v>14</v>
      </c>
      <c r="T35" s="43" t="s">
        <v>14</v>
      </c>
      <c r="U35" s="43" t="s">
        <v>14</v>
      </c>
    </row>
    <row r="36" spans="1:21" ht="12.6" customHeight="1">
      <c r="A36" s="73" t="s">
        <v>32</v>
      </c>
      <c r="B36" s="73" t="s">
        <v>832</v>
      </c>
      <c r="C36" s="9">
        <v>15</v>
      </c>
      <c r="D36" s="10">
        <v>3.5</v>
      </c>
      <c r="E36" s="9">
        <f t="shared" ref="E36:E49" si="14">1.6*C36</f>
        <v>24</v>
      </c>
      <c r="F36" s="64" t="s">
        <v>160</v>
      </c>
      <c r="G36" s="75">
        <v>0.16</v>
      </c>
      <c r="H36" s="76">
        <v>0.875</v>
      </c>
      <c r="I36" s="9">
        <v>94</v>
      </c>
      <c r="J36" s="9">
        <v>83.5</v>
      </c>
      <c r="K36" s="9" t="s">
        <v>85</v>
      </c>
      <c r="L36" s="65">
        <f>AVERAGE(1390,1575,1700)</f>
        <v>1555</v>
      </c>
      <c r="M36" s="50" t="s">
        <v>1153</v>
      </c>
      <c r="N36" s="9">
        <f>AVERAGE(2000,3251)</f>
        <v>2625.5</v>
      </c>
      <c r="O36" s="9" t="s">
        <v>592</v>
      </c>
      <c r="P36" s="65">
        <v>1742</v>
      </c>
      <c r="Q36" s="25" t="s">
        <v>874</v>
      </c>
      <c r="R36" s="50" t="s">
        <v>28</v>
      </c>
      <c r="S36" s="65">
        <v>3000</v>
      </c>
      <c r="T36" s="25" t="s">
        <v>892</v>
      </c>
      <c r="U36" s="50" t="s">
        <v>400</v>
      </c>
    </row>
    <row r="37" spans="1:21" ht="12.6" customHeight="1">
      <c r="A37" s="73" t="s">
        <v>32</v>
      </c>
      <c r="B37" s="73" t="s">
        <v>833</v>
      </c>
      <c r="C37" s="9">
        <v>16</v>
      </c>
      <c r="D37" s="10">
        <v>2.8</v>
      </c>
      <c r="E37" s="9">
        <f t="shared" si="14"/>
        <v>25.6</v>
      </c>
      <c r="F37" s="64" t="s">
        <v>160</v>
      </c>
      <c r="G37" s="75">
        <v>0.3</v>
      </c>
      <c r="H37" s="76">
        <v>0.46</v>
      </c>
      <c r="I37" s="9">
        <v>61.5</v>
      </c>
      <c r="J37" s="9">
        <v>70</v>
      </c>
      <c r="K37" s="50" t="s">
        <v>85</v>
      </c>
      <c r="L37" s="9">
        <f>AVERAGE(579,864,599,608,650)</f>
        <v>660</v>
      </c>
      <c r="M37" s="50" t="s">
        <v>1061</v>
      </c>
      <c r="N37" s="65">
        <f>AVERAGE(1081,1399,1200,1297,1280)</f>
        <v>1251.4000000000001</v>
      </c>
      <c r="O37" s="9" t="s">
        <v>709</v>
      </c>
      <c r="P37" s="65">
        <v>1300</v>
      </c>
      <c r="Q37" s="9" t="s">
        <v>874</v>
      </c>
      <c r="R37" s="50" t="s">
        <v>28</v>
      </c>
      <c r="S37" s="65">
        <v>1550</v>
      </c>
      <c r="T37" s="9" t="s">
        <v>892</v>
      </c>
      <c r="U37" s="50" t="s">
        <v>400</v>
      </c>
    </row>
    <row r="38" spans="1:21" ht="12.6" customHeight="1">
      <c r="A38" s="73" t="s">
        <v>32</v>
      </c>
      <c r="B38" s="73" t="s">
        <v>834</v>
      </c>
      <c r="C38" s="9">
        <v>18</v>
      </c>
      <c r="D38" s="10">
        <v>4</v>
      </c>
      <c r="E38" s="9">
        <f t="shared" si="14"/>
        <v>28.8</v>
      </c>
      <c r="F38" s="64" t="s">
        <v>160</v>
      </c>
      <c r="G38" s="75">
        <v>0.3</v>
      </c>
      <c r="H38" s="76">
        <v>0.35</v>
      </c>
      <c r="I38" s="9">
        <v>51.5</v>
      </c>
      <c r="J38" s="9">
        <v>70</v>
      </c>
      <c r="K38" s="9" t="s">
        <v>187</v>
      </c>
      <c r="L38" s="65">
        <f>AVERAGE(449,519,409,495,409,500,419,378,569,459,479)</f>
        <v>462.27272727272725</v>
      </c>
      <c r="M38" s="50" t="s">
        <v>1153</v>
      </c>
      <c r="N38" s="9">
        <f>AVERAGE(580,520,600,580,519,588,634,699,610)</f>
        <v>592.22222222222217</v>
      </c>
      <c r="O38" s="9" t="s">
        <v>1153</v>
      </c>
      <c r="P38" s="65">
        <v>595</v>
      </c>
      <c r="Q38" s="9" t="s">
        <v>951</v>
      </c>
      <c r="R38" s="50" t="s">
        <v>27</v>
      </c>
      <c r="S38" s="65">
        <v>1745</v>
      </c>
      <c r="T38" s="9" t="s">
        <v>723</v>
      </c>
      <c r="U38" s="50" t="s">
        <v>26</v>
      </c>
    </row>
    <row r="39" spans="1:21" ht="12.6" customHeight="1">
      <c r="A39" s="67" t="s">
        <v>32</v>
      </c>
      <c r="B39" s="67" t="s">
        <v>835</v>
      </c>
      <c r="C39" s="36">
        <v>21</v>
      </c>
      <c r="D39" s="71">
        <v>2.8</v>
      </c>
      <c r="E39" s="36">
        <f t="shared" si="14"/>
        <v>33.6</v>
      </c>
      <c r="F39" s="69" t="s">
        <v>160</v>
      </c>
      <c r="G39" s="59">
        <v>0.22</v>
      </c>
      <c r="H39" s="40">
        <v>0.53</v>
      </c>
      <c r="I39" s="36">
        <v>90.5</v>
      </c>
      <c r="J39" s="36">
        <v>85</v>
      </c>
      <c r="K39" s="52">
        <v>82</v>
      </c>
      <c r="L39" s="61">
        <f>AVERAGE(1366,1225,1249,1399,1568,1538,1578,1318,1210)</f>
        <v>1383.4444444444443</v>
      </c>
      <c r="M39" s="36" t="s">
        <v>1118</v>
      </c>
      <c r="N39" s="61">
        <f>AVERAGE(1500,1499,1443,1689,1548,1578,1598,699,1859,1650,1799,1600,1680)</f>
        <v>1549.3846153846155</v>
      </c>
      <c r="O39" s="68" t="s">
        <v>1171</v>
      </c>
      <c r="P39" s="61">
        <v>1953</v>
      </c>
      <c r="Q39" s="36" t="s">
        <v>925</v>
      </c>
      <c r="R39" s="52" t="s">
        <v>28</v>
      </c>
      <c r="S39" s="61">
        <v>1225</v>
      </c>
      <c r="T39" s="36" t="s">
        <v>918</v>
      </c>
      <c r="U39" s="52" t="s">
        <v>26</v>
      </c>
    </row>
    <row r="40" spans="1:21" ht="12.6" customHeight="1">
      <c r="A40" s="73" t="s">
        <v>32</v>
      </c>
      <c r="B40" s="73" t="s">
        <v>836</v>
      </c>
      <c r="C40" s="9">
        <v>25</v>
      </c>
      <c r="D40" s="10">
        <v>2.8</v>
      </c>
      <c r="E40" s="9">
        <f t="shared" si="14"/>
        <v>40</v>
      </c>
      <c r="F40" s="64" t="s">
        <v>160</v>
      </c>
      <c r="G40" s="75">
        <v>0.25</v>
      </c>
      <c r="H40" s="76">
        <v>0.36</v>
      </c>
      <c r="I40" s="9">
        <v>56</v>
      </c>
      <c r="J40" s="9">
        <v>62.5</v>
      </c>
      <c r="K40" s="9">
        <v>55</v>
      </c>
      <c r="L40" s="65">
        <f>AVERAGE(295,258,342,317,278,295,258,,318,338,325,360,300,367)</f>
        <v>289.35714285714283</v>
      </c>
      <c r="M40" s="50" t="s">
        <v>1171</v>
      </c>
      <c r="N40" s="9">
        <f>AVERAGE(430,400,355,440,400,499,490,499,418,416,410,400)</f>
        <v>429.75</v>
      </c>
      <c r="O40" s="9" t="s">
        <v>1171</v>
      </c>
      <c r="P40" s="65">
        <v>300</v>
      </c>
      <c r="Q40" s="9" t="s">
        <v>1171</v>
      </c>
      <c r="R40" s="50" t="s">
        <v>1157</v>
      </c>
      <c r="S40" s="65">
        <v>650</v>
      </c>
      <c r="T40" s="9" t="s">
        <v>892</v>
      </c>
      <c r="U40" s="50" t="s">
        <v>400</v>
      </c>
    </row>
    <row r="41" spans="1:21" ht="12.6" customHeight="1">
      <c r="A41" s="73" t="s">
        <v>32</v>
      </c>
      <c r="B41" s="73" t="s">
        <v>837</v>
      </c>
      <c r="C41" s="9">
        <v>28</v>
      </c>
      <c r="D41" s="10">
        <v>2</v>
      </c>
      <c r="E41" s="9">
        <f t="shared" si="14"/>
        <v>44.800000000000004</v>
      </c>
      <c r="F41" s="64" t="s">
        <v>160</v>
      </c>
      <c r="G41" s="75">
        <v>0.24</v>
      </c>
      <c r="H41" s="76">
        <v>0.53</v>
      </c>
      <c r="I41" s="9">
        <v>76</v>
      </c>
      <c r="J41" s="9">
        <v>62.5</v>
      </c>
      <c r="K41" s="50">
        <v>55</v>
      </c>
      <c r="L41" s="65">
        <f>AVERAGE(900,850,837,728,683,,880,778,623,729,880,840)</f>
        <v>727.33333333333337</v>
      </c>
      <c r="M41" s="50" t="s">
        <v>1171</v>
      </c>
      <c r="N41" s="9">
        <f>AVERAGE(1390,1325)</f>
        <v>1357.5</v>
      </c>
      <c r="O41" s="9" t="s">
        <v>1118</v>
      </c>
      <c r="P41" s="65">
        <v>850</v>
      </c>
      <c r="Q41" s="9" t="s">
        <v>874</v>
      </c>
      <c r="R41" s="66" t="s">
        <v>28</v>
      </c>
      <c r="S41" s="79">
        <v>1200</v>
      </c>
      <c r="T41" s="9" t="s">
        <v>964</v>
      </c>
      <c r="U41" s="66" t="s">
        <v>30</v>
      </c>
    </row>
    <row r="42" spans="1:21" ht="12.6" customHeight="1">
      <c r="A42" s="73" t="s">
        <v>32</v>
      </c>
      <c r="B42" s="73" t="s">
        <v>838</v>
      </c>
      <c r="C42" s="9">
        <v>28</v>
      </c>
      <c r="D42" s="10">
        <v>2.8</v>
      </c>
      <c r="E42" s="9">
        <f t="shared" si="14"/>
        <v>44.800000000000004</v>
      </c>
      <c r="F42" s="64" t="s">
        <v>160</v>
      </c>
      <c r="G42" s="75">
        <v>0.25</v>
      </c>
      <c r="H42" s="76">
        <v>0.28000000000000003</v>
      </c>
      <c r="I42" s="9">
        <v>50</v>
      </c>
      <c r="J42" s="9">
        <v>63</v>
      </c>
      <c r="K42" s="50">
        <v>55</v>
      </c>
      <c r="L42" s="65">
        <f>AVERAGE(264,249,242,250,250,270,250,248,268,259,290,293)</f>
        <v>261.08333333333331</v>
      </c>
      <c r="M42" s="50" t="s">
        <v>1171</v>
      </c>
      <c r="N42" s="9">
        <f>AVERAGE(290,290.35,310,345,290,300,280,330,360,331)</f>
        <v>312.63499999999999</v>
      </c>
      <c r="O42" s="9" t="s">
        <v>1171</v>
      </c>
      <c r="P42" s="65">
        <v>300</v>
      </c>
      <c r="Q42" s="9" t="s">
        <v>1153</v>
      </c>
      <c r="R42" s="66" t="s">
        <v>31</v>
      </c>
      <c r="S42" s="79">
        <v>350</v>
      </c>
      <c r="T42" s="9" t="s">
        <v>1171</v>
      </c>
      <c r="U42" s="66" t="s">
        <v>1157</v>
      </c>
    </row>
    <row r="43" spans="1:21" ht="12.6" customHeight="1">
      <c r="A43" s="73" t="s">
        <v>32</v>
      </c>
      <c r="B43" s="114" t="s">
        <v>839</v>
      </c>
      <c r="C43" s="9">
        <v>35</v>
      </c>
      <c r="D43" s="10">
        <v>1.4</v>
      </c>
      <c r="E43" s="9">
        <f t="shared" si="14"/>
        <v>56</v>
      </c>
      <c r="F43" s="64" t="s">
        <v>160</v>
      </c>
      <c r="G43" s="75">
        <v>0.3</v>
      </c>
      <c r="H43" s="76">
        <v>0.6</v>
      </c>
      <c r="I43" s="9">
        <v>76</v>
      </c>
      <c r="J43" s="9">
        <v>70</v>
      </c>
      <c r="K43" s="50">
        <v>67</v>
      </c>
      <c r="L43" s="65">
        <f>AVERAGE(900,900,700,878,911,870,878,865,965,860,900)</f>
        <v>875.18181818181813</v>
      </c>
      <c r="M43" s="9" t="s">
        <v>1171</v>
      </c>
      <c r="N43" s="65">
        <f>AVERAGE(1230,1380,1300,1170,1000,1099,1190,1238,1238,1220)</f>
        <v>1206.5</v>
      </c>
      <c r="O43" s="9" t="s">
        <v>1153</v>
      </c>
      <c r="P43" s="65">
        <v>1480</v>
      </c>
      <c r="Q43" s="9" t="s">
        <v>925</v>
      </c>
      <c r="R43" s="66" t="s">
        <v>28</v>
      </c>
      <c r="S43" s="79">
        <v>1275</v>
      </c>
      <c r="T43" s="9" t="s">
        <v>1171</v>
      </c>
      <c r="U43" s="66" t="s">
        <v>1157</v>
      </c>
    </row>
    <row r="44" spans="1:21" ht="12.6" customHeight="1">
      <c r="A44" s="73" t="s">
        <v>32</v>
      </c>
      <c r="B44" s="114" t="s">
        <v>840</v>
      </c>
      <c r="C44" s="9">
        <v>35</v>
      </c>
      <c r="D44" s="10">
        <v>2.8</v>
      </c>
      <c r="E44" s="9">
        <f t="shared" si="14"/>
        <v>56</v>
      </c>
      <c r="F44" s="64" t="s">
        <v>160</v>
      </c>
      <c r="G44" s="75">
        <v>0.4</v>
      </c>
      <c r="H44" s="76">
        <v>0.24</v>
      </c>
      <c r="I44" s="9">
        <v>46</v>
      </c>
      <c r="J44" s="9">
        <v>62.5</v>
      </c>
      <c r="K44" s="50">
        <v>55</v>
      </c>
      <c r="L44" s="65">
        <f>AVERAGE(220,199,199,227,190,239,200,199,205,279,245)</f>
        <v>218.36363636363637</v>
      </c>
      <c r="M44" s="9" t="s">
        <v>1171</v>
      </c>
      <c r="N44" s="65">
        <f>AVERAGE(330,320,335,340,310,250,299,276,295,279,268,320,320,300)</f>
        <v>303</v>
      </c>
      <c r="O44" s="9" t="s">
        <v>1171</v>
      </c>
      <c r="P44" s="65">
        <v>250</v>
      </c>
      <c r="Q44" s="9" t="s">
        <v>1061</v>
      </c>
      <c r="R44" s="66" t="s">
        <v>30</v>
      </c>
      <c r="S44" s="79">
        <v>450</v>
      </c>
      <c r="T44" s="9" t="s">
        <v>723</v>
      </c>
      <c r="U44" s="66" t="s">
        <v>28</v>
      </c>
    </row>
    <row r="45" spans="1:21" s="26" customFormat="1" ht="12.6" customHeight="1">
      <c r="A45" s="67" t="s">
        <v>32</v>
      </c>
      <c r="B45" s="58" t="s">
        <v>1009</v>
      </c>
      <c r="C45" s="36">
        <v>35</v>
      </c>
      <c r="D45" s="71">
        <v>2.8</v>
      </c>
      <c r="E45" s="52">
        <f t="shared" si="14"/>
        <v>56</v>
      </c>
      <c r="F45" s="36" t="s">
        <v>160</v>
      </c>
      <c r="G45" s="59">
        <v>0.3</v>
      </c>
      <c r="H45" s="40">
        <v>0.74</v>
      </c>
      <c r="I45" s="36">
        <v>85.6</v>
      </c>
      <c r="J45" s="36">
        <v>70</v>
      </c>
      <c r="K45" s="71" t="s">
        <v>186</v>
      </c>
      <c r="L45" s="61">
        <f>AVERAGE(1200,850,850,1060,941)</f>
        <v>980.2</v>
      </c>
      <c r="M45" s="68" t="s">
        <v>1061</v>
      </c>
      <c r="N45" s="61">
        <f>AVERAGE(1330,1298,1220,1250)</f>
        <v>1274.5</v>
      </c>
      <c r="O45" s="168" t="s">
        <v>1171</v>
      </c>
      <c r="P45" s="61">
        <f>1499*CA.US</f>
        <v>1139.24</v>
      </c>
      <c r="Q45" s="68" t="s">
        <v>925</v>
      </c>
      <c r="R45" s="52" t="s">
        <v>537</v>
      </c>
      <c r="S45" s="61">
        <v>1100</v>
      </c>
      <c r="T45" s="68" t="s">
        <v>1171</v>
      </c>
      <c r="U45" s="52" t="s">
        <v>1157</v>
      </c>
    </row>
    <row r="46" spans="1:21" ht="12.6" customHeight="1">
      <c r="A46" s="73" t="s">
        <v>32</v>
      </c>
      <c r="B46" s="114" t="s">
        <v>841</v>
      </c>
      <c r="C46" s="9">
        <v>45</v>
      </c>
      <c r="D46" s="10">
        <v>2.8</v>
      </c>
      <c r="E46" s="9">
        <f t="shared" si="14"/>
        <v>72</v>
      </c>
      <c r="F46" s="64" t="s">
        <v>160</v>
      </c>
      <c r="G46" s="75">
        <v>0.6</v>
      </c>
      <c r="H46" s="76">
        <v>0.09</v>
      </c>
      <c r="I46" s="9">
        <v>18</v>
      </c>
      <c r="J46" s="9">
        <v>58</v>
      </c>
      <c r="K46" s="50">
        <v>49</v>
      </c>
      <c r="L46" s="65">
        <f>AVERAGE(200,138,153,185,185,165,120,175,184,181)</f>
        <v>168.6</v>
      </c>
      <c r="M46" s="9" t="s">
        <v>1153</v>
      </c>
      <c r="N46" s="65">
        <f>AVERAGE(190,230,220,190,230,264,190,210,239,200,210)</f>
        <v>215.72727272727272</v>
      </c>
      <c r="O46" s="9" t="s">
        <v>1171</v>
      </c>
      <c r="P46" s="65">
        <v>250</v>
      </c>
      <c r="Q46" s="9" t="s">
        <v>1153</v>
      </c>
      <c r="R46" s="66" t="s">
        <v>30</v>
      </c>
      <c r="S46" s="79">
        <v>210</v>
      </c>
      <c r="T46" s="9" t="s">
        <v>1171</v>
      </c>
      <c r="U46" s="66" t="s">
        <v>1157</v>
      </c>
    </row>
    <row r="47" spans="1:21" ht="12.6" customHeight="1">
      <c r="A47" s="73" t="s">
        <v>32</v>
      </c>
      <c r="B47" s="46" t="s">
        <v>842</v>
      </c>
      <c r="C47" s="9">
        <v>50</v>
      </c>
      <c r="D47" s="10">
        <v>1.4</v>
      </c>
      <c r="E47" s="9">
        <f t="shared" si="14"/>
        <v>80</v>
      </c>
      <c r="F47" s="200" t="s">
        <v>160</v>
      </c>
      <c r="G47" s="75">
        <v>0.45</v>
      </c>
      <c r="H47" s="76">
        <v>0.28999999999999998</v>
      </c>
      <c r="I47" s="9">
        <v>41</v>
      </c>
      <c r="J47" s="9">
        <v>62.5</v>
      </c>
      <c r="K47" s="10">
        <v>55</v>
      </c>
      <c r="L47" s="65">
        <f>AVERAGE(232,232,290,275,269,250,230,228,240,285,228)</f>
        <v>250.81818181818181</v>
      </c>
      <c r="M47" s="25" t="s">
        <v>1171</v>
      </c>
      <c r="N47" s="65">
        <f>AVERAGE(430,375,340,400,380,400,390,380,320,400,350)</f>
        <v>378.63636363636363</v>
      </c>
      <c r="O47" s="25" t="s">
        <v>1171</v>
      </c>
      <c r="P47" s="65">
        <f>249*CA.US</f>
        <v>189.24</v>
      </c>
      <c r="Q47" s="9" t="s">
        <v>1061</v>
      </c>
      <c r="R47" s="50" t="s">
        <v>537</v>
      </c>
      <c r="S47" s="65">
        <v>525</v>
      </c>
      <c r="T47" s="9" t="s">
        <v>892</v>
      </c>
      <c r="U47" s="50" t="s">
        <v>400</v>
      </c>
    </row>
    <row r="48" spans="1:21" ht="12.6" customHeight="1">
      <c r="A48" s="73" t="s">
        <v>32</v>
      </c>
      <c r="B48" s="114" t="s">
        <v>843</v>
      </c>
      <c r="C48" s="9">
        <v>50</v>
      </c>
      <c r="D48" s="10">
        <v>1.7</v>
      </c>
      <c r="E48" s="9">
        <f t="shared" si="14"/>
        <v>80</v>
      </c>
      <c r="F48" s="64" t="s">
        <v>160</v>
      </c>
      <c r="G48" s="75">
        <v>0.6</v>
      </c>
      <c r="H48" s="76">
        <v>0.19</v>
      </c>
      <c r="I48" s="9">
        <v>36</v>
      </c>
      <c r="J48" s="9">
        <v>59</v>
      </c>
      <c r="K48" s="50">
        <v>55</v>
      </c>
      <c r="L48" s="65">
        <f>AVERAGE(133,174,136,160,130,135,162,175,144,124,114)</f>
        <v>144.27272727272728</v>
      </c>
      <c r="M48" s="9" t="s">
        <v>1171</v>
      </c>
      <c r="N48" s="65">
        <f>AVERAGE(220,240,200,195,212,160,183,193,200,200)</f>
        <v>200.3</v>
      </c>
      <c r="O48" s="9" t="s">
        <v>1171</v>
      </c>
      <c r="P48" s="65">
        <v>160</v>
      </c>
      <c r="Q48" s="9" t="s">
        <v>1153</v>
      </c>
      <c r="R48" s="66" t="s">
        <v>30</v>
      </c>
      <c r="S48" s="79">
        <v>248</v>
      </c>
      <c r="T48" s="9" t="s">
        <v>892</v>
      </c>
      <c r="U48" s="66" t="s">
        <v>28</v>
      </c>
    </row>
    <row r="49" spans="1:21" ht="12.6" customHeight="1">
      <c r="A49" s="67" t="s">
        <v>32</v>
      </c>
      <c r="B49" s="67" t="s">
        <v>844</v>
      </c>
      <c r="C49" s="36">
        <v>55</v>
      </c>
      <c r="D49" s="71">
        <v>1.2</v>
      </c>
      <c r="E49" s="36">
        <f t="shared" si="14"/>
        <v>88</v>
      </c>
      <c r="F49" s="69" t="s">
        <v>160</v>
      </c>
      <c r="G49" s="59">
        <v>0.24</v>
      </c>
      <c r="H49" s="40">
        <v>0.5</v>
      </c>
      <c r="I49" s="36">
        <v>60</v>
      </c>
      <c r="J49" s="36">
        <v>80</v>
      </c>
      <c r="K49" s="52">
        <v>77</v>
      </c>
      <c r="L49" s="61">
        <f>AVERAGE(3951)</f>
        <v>3951</v>
      </c>
      <c r="M49" s="36" t="s">
        <v>814</v>
      </c>
      <c r="N49" s="61">
        <f>AVERAGE(5129,7047)</f>
        <v>6088</v>
      </c>
      <c r="O49" s="36" t="s">
        <v>814</v>
      </c>
      <c r="P49" s="61">
        <v>6902</v>
      </c>
      <c r="Q49" s="36" t="s">
        <v>639</v>
      </c>
      <c r="R49" s="52" t="s">
        <v>28</v>
      </c>
      <c r="S49" s="61">
        <v>8500</v>
      </c>
      <c r="T49" s="36" t="s">
        <v>892</v>
      </c>
      <c r="U49" s="52" t="s">
        <v>400</v>
      </c>
    </row>
    <row r="50" spans="1:21" ht="12.6" customHeight="1">
      <c r="A50" s="112" t="s">
        <v>32</v>
      </c>
      <c r="B50" s="113" t="s">
        <v>845</v>
      </c>
      <c r="C50" s="9">
        <v>60</v>
      </c>
      <c r="D50" s="10">
        <v>2.8</v>
      </c>
      <c r="E50" s="9">
        <f t="shared" ref="E50:E70" si="15">1.6*C50</f>
        <v>96</v>
      </c>
      <c r="F50" s="64" t="s">
        <v>160</v>
      </c>
      <c r="G50" s="75">
        <v>0.24</v>
      </c>
      <c r="H50" s="76">
        <v>0.35</v>
      </c>
      <c r="I50" s="9">
        <v>60</v>
      </c>
      <c r="J50" s="9">
        <v>62.5</v>
      </c>
      <c r="K50" s="50">
        <v>55</v>
      </c>
      <c r="L50" s="65">
        <f>AVERAGE(450)</f>
        <v>450</v>
      </c>
      <c r="M50" s="9" t="s">
        <v>690</v>
      </c>
      <c r="N50" s="65">
        <f>AVERAGE(0)</f>
        <v>0</v>
      </c>
      <c r="O50" s="25" t="s">
        <v>14</v>
      </c>
      <c r="P50" s="65" t="s">
        <v>14</v>
      </c>
      <c r="Q50" s="9" t="s">
        <v>14</v>
      </c>
      <c r="R50" s="66" t="s">
        <v>14</v>
      </c>
      <c r="S50" s="79" t="s">
        <v>14</v>
      </c>
      <c r="T50" s="9" t="s">
        <v>14</v>
      </c>
      <c r="U50" s="66" t="s">
        <v>14</v>
      </c>
    </row>
    <row r="51" spans="1:21" ht="12.6" customHeight="1">
      <c r="A51" s="73" t="s">
        <v>32</v>
      </c>
      <c r="B51" s="114" t="s">
        <v>876</v>
      </c>
      <c r="C51" s="9">
        <v>60</v>
      </c>
      <c r="D51" s="10">
        <v>2.8</v>
      </c>
      <c r="E51" s="9">
        <f t="shared" si="15"/>
        <v>96</v>
      </c>
      <c r="F51" s="64" t="s">
        <v>160</v>
      </c>
      <c r="G51" s="115">
        <v>0.24</v>
      </c>
      <c r="H51" s="76">
        <v>0.56999999999999995</v>
      </c>
      <c r="I51" s="9">
        <v>74</v>
      </c>
      <c r="J51" s="9">
        <v>75.5</v>
      </c>
      <c r="K51" s="50">
        <v>67</v>
      </c>
      <c r="L51" s="65">
        <f>AVERAGE(350,371,380,374,400,349,367,395,400,421,335,364,440)</f>
        <v>380.46153846153845</v>
      </c>
      <c r="M51" s="9" t="s">
        <v>1153</v>
      </c>
      <c r="N51" s="65">
        <f>AVERAGE(430,506,550,440,458,400,531,458,415,540)</f>
        <v>472.8</v>
      </c>
      <c r="O51" s="25" t="s">
        <v>1171</v>
      </c>
      <c r="P51" s="65">
        <v>572</v>
      </c>
      <c r="Q51" s="9" t="s">
        <v>925</v>
      </c>
      <c r="R51" s="66" t="s">
        <v>28</v>
      </c>
      <c r="S51" s="79">
        <v>822</v>
      </c>
      <c r="T51" s="9" t="s">
        <v>874</v>
      </c>
      <c r="U51" s="66" t="s">
        <v>28</v>
      </c>
    </row>
    <row r="52" spans="1:21" ht="12.6" customHeight="1">
      <c r="A52" s="73" t="s">
        <v>32</v>
      </c>
      <c r="B52" s="114" t="s">
        <v>877</v>
      </c>
      <c r="C52" s="9">
        <v>60</v>
      </c>
      <c r="D52" s="10">
        <v>2.8</v>
      </c>
      <c r="E52" s="9">
        <f t="shared" si="15"/>
        <v>96</v>
      </c>
      <c r="F52" s="64" t="s">
        <v>160</v>
      </c>
      <c r="G52" s="115">
        <v>0.24</v>
      </c>
      <c r="H52" s="76">
        <v>0.56999999999999995</v>
      </c>
      <c r="I52" s="9">
        <v>74</v>
      </c>
      <c r="J52" s="9">
        <v>75.5</v>
      </c>
      <c r="K52" s="50">
        <v>67</v>
      </c>
      <c r="L52" s="65">
        <f>AVERAGE(399,418,519,420,406,410,425,386,365,501,470,405,423)</f>
        <v>426.69230769230768</v>
      </c>
      <c r="M52" s="9" t="s">
        <v>1153</v>
      </c>
      <c r="N52" s="65">
        <f>AVERAGE(525,600,613,516,700,550,573,619,566,670,553)</f>
        <v>589.5454545454545</v>
      </c>
      <c r="O52" s="25" t="s">
        <v>814</v>
      </c>
      <c r="P52" s="65">
        <v>550</v>
      </c>
      <c r="Q52" s="9" t="s">
        <v>1153</v>
      </c>
      <c r="R52" s="66" t="s">
        <v>30</v>
      </c>
      <c r="S52" s="79">
        <v>650</v>
      </c>
      <c r="T52" s="9" t="s">
        <v>964</v>
      </c>
      <c r="U52" s="66" t="s">
        <v>30</v>
      </c>
    </row>
    <row r="53" spans="1:21" ht="12.6" customHeight="1">
      <c r="A53" s="67" t="s">
        <v>32</v>
      </c>
      <c r="B53" s="67" t="s">
        <v>875</v>
      </c>
      <c r="C53" s="36">
        <v>60</v>
      </c>
      <c r="D53" s="71">
        <v>2.8</v>
      </c>
      <c r="E53" s="36">
        <f>1.6*C53</f>
        <v>96</v>
      </c>
      <c r="F53" s="69" t="s">
        <v>160</v>
      </c>
      <c r="G53" s="59">
        <v>0.27</v>
      </c>
      <c r="H53" s="40">
        <v>0.27</v>
      </c>
      <c r="I53" s="36">
        <v>51.5</v>
      </c>
      <c r="J53" s="36">
        <v>64.5</v>
      </c>
      <c r="K53" s="52">
        <v>55</v>
      </c>
      <c r="L53" s="61">
        <f>AVERAGE(422,378,348,360,395,452,400,400,430)</f>
        <v>398.33333333333331</v>
      </c>
      <c r="M53" s="36" t="s">
        <v>1110</v>
      </c>
      <c r="N53" s="61">
        <f>AVERAGE(529,525,650,550,575,568,660,569,565,549,658,510,589)</f>
        <v>576.69230769230774</v>
      </c>
      <c r="O53" s="52" t="s">
        <v>814</v>
      </c>
      <c r="P53" s="61">
        <v>490</v>
      </c>
      <c r="Q53" s="36" t="s">
        <v>874</v>
      </c>
      <c r="R53" s="52" t="s">
        <v>28</v>
      </c>
      <c r="S53" s="61">
        <v>700</v>
      </c>
      <c r="T53" s="36" t="s">
        <v>511</v>
      </c>
      <c r="U53" s="52" t="s">
        <v>30</v>
      </c>
    </row>
    <row r="54" spans="1:21" ht="12.6" customHeight="1">
      <c r="A54" s="73" t="s">
        <v>32</v>
      </c>
      <c r="B54" s="114" t="s">
        <v>846</v>
      </c>
      <c r="C54" s="9">
        <v>85</v>
      </c>
      <c r="D54" s="10">
        <v>1.2</v>
      </c>
      <c r="E54" s="9">
        <f t="shared" si="15"/>
        <v>136</v>
      </c>
      <c r="F54" s="64" t="s">
        <v>160</v>
      </c>
      <c r="G54" s="75">
        <v>1</v>
      </c>
      <c r="H54" s="76">
        <v>0.874</v>
      </c>
      <c r="I54" s="9">
        <v>72.5</v>
      </c>
      <c r="J54" s="9">
        <v>80</v>
      </c>
      <c r="K54" s="50">
        <v>77</v>
      </c>
      <c r="L54" s="65">
        <f>AVERAGE(2300,2090)</f>
        <v>2195</v>
      </c>
      <c r="M54" s="9" t="s">
        <v>1153</v>
      </c>
      <c r="N54" s="65">
        <f>AVERAGE(0)</f>
        <v>0</v>
      </c>
      <c r="O54" s="9" t="s">
        <v>14</v>
      </c>
      <c r="P54" s="65">
        <v>3000</v>
      </c>
      <c r="Q54" s="9" t="s">
        <v>1153</v>
      </c>
      <c r="R54" s="66" t="s">
        <v>30</v>
      </c>
      <c r="S54" s="79">
        <v>5000</v>
      </c>
      <c r="T54" s="9" t="s">
        <v>892</v>
      </c>
      <c r="U54" s="66" t="s">
        <v>400</v>
      </c>
    </row>
    <row r="55" spans="1:21" ht="12.6" customHeight="1">
      <c r="A55" s="73" t="s">
        <v>32</v>
      </c>
      <c r="B55" s="73" t="s">
        <v>847</v>
      </c>
      <c r="C55" s="9">
        <v>85</v>
      </c>
      <c r="D55" s="10">
        <v>1.4</v>
      </c>
      <c r="E55" s="9">
        <f t="shared" si="15"/>
        <v>136</v>
      </c>
      <c r="F55" s="64" t="s">
        <v>160</v>
      </c>
      <c r="G55" s="75">
        <v>1</v>
      </c>
      <c r="H55" s="76">
        <v>0.59499999999999997</v>
      </c>
      <c r="I55" s="9">
        <v>64</v>
      </c>
      <c r="J55" s="9">
        <v>70</v>
      </c>
      <c r="K55" s="9">
        <v>67</v>
      </c>
      <c r="L55" s="65">
        <f>AVERAGE(460,410,477,530,548,420,460,420,519,420,450,447)</f>
        <v>463.41666666666669</v>
      </c>
      <c r="M55" s="50" t="s">
        <v>1153</v>
      </c>
      <c r="N55" s="65">
        <f>AVERAGE(659,650,620,628,624,600,600,568,600,595,678,639,577)</f>
        <v>618.30769230769226</v>
      </c>
      <c r="O55" s="50" t="s">
        <v>1171</v>
      </c>
      <c r="P55" s="9">
        <v>600</v>
      </c>
      <c r="Q55" s="9" t="s">
        <v>1061</v>
      </c>
      <c r="R55" s="66" t="s">
        <v>30</v>
      </c>
      <c r="S55" s="79">
        <v>595</v>
      </c>
      <c r="T55" s="9" t="s">
        <v>951</v>
      </c>
      <c r="U55" s="66" t="s">
        <v>27</v>
      </c>
    </row>
    <row r="56" spans="1:21" ht="12.6" customHeight="1">
      <c r="A56" s="73" t="s">
        <v>32</v>
      </c>
      <c r="B56" s="114" t="s">
        <v>848</v>
      </c>
      <c r="C56" s="9">
        <v>85</v>
      </c>
      <c r="D56" s="10">
        <v>2.8</v>
      </c>
      <c r="E56" s="9">
        <f t="shared" si="15"/>
        <v>136</v>
      </c>
      <c r="F56" s="64" t="s">
        <v>160</v>
      </c>
      <c r="G56" s="75">
        <v>1</v>
      </c>
      <c r="H56" s="76">
        <v>0.23</v>
      </c>
      <c r="I56" s="9">
        <v>46.5</v>
      </c>
      <c r="J56" s="9">
        <v>61</v>
      </c>
      <c r="K56" s="50">
        <v>55</v>
      </c>
      <c r="L56" s="65">
        <f>AVERAGE(189,280,265,280,232,256,300,212,249,234,229,235)</f>
        <v>246.75</v>
      </c>
      <c r="M56" s="9" t="s">
        <v>1171</v>
      </c>
      <c r="N56" s="65">
        <f>AVERAGE(380,380,425,320,400,425,299,319,349,409)</f>
        <v>370.6</v>
      </c>
      <c r="O56" s="9" t="s">
        <v>1171</v>
      </c>
      <c r="P56" s="65">
        <v>195</v>
      </c>
      <c r="Q56" s="9" t="s">
        <v>674</v>
      </c>
      <c r="R56" s="66" t="s">
        <v>26</v>
      </c>
      <c r="S56" s="79">
        <v>400</v>
      </c>
      <c r="T56" s="9" t="s">
        <v>708</v>
      </c>
      <c r="U56" s="66" t="s">
        <v>30</v>
      </c>
    </row>
    <row r="57" spans="1:21" ht="12.6" customHeight="1">
      <c r="A57" s="73" t="s">
        <v>32</v>
      </c>
      <c r="B57" s="114" t="s">
        <v>849</v>
      </c>
      <c r="C57" s="9">
        <v>100</v>
      </c>
      <c r="D57" s="10">
        <v>2</v>
      </c>
      <c r="E57" s="9">
        <f t="shared" si="15"/>
        <v>160</v>
      </c>
      <c r="F57" s="64" t="s">
        <v>160</v>
      </c>
      <c r="G57" s="75">
        <v>1</v>
      </c>
      <c r="H57" s="76">
        <v>0.67</v>
      </c>
      <c r="I57" s="9">
        <v>84</v>
      </c>
      <c r="J57" s="9">
        <v>70</v>
      </c>
      <c r="K57" s="50">
        <v>67</v>
      </c>
      <c r="L57" s="65">
        <f>AVERAGE(680,700,665,600,745,774,750,650,700,797)</f>
        <v>706.1</v>
      </c>
      <c r="M57" s="9" t="s">
        <v>1171</v>
      </c>
      <c r="N57" s="65">
        <f>AVERAGE(800,820,820,800,799,1250,1050,910,899)</f>
        <v>905.33333333333337</v>
      </c>
      <c r="O57" s="9" t="s">
        <v>1171</v>
      </c>
      <c r="P57" s="65">
        <v>820</v>
      </c>
      <c r="Q57" s="9" t="s">
        <v>1153</v>
      </c>
      <c r="R57" s="66" t="s">
        <v>31</v>
      </c>
      <c r="S57" s="79">
        <v>1000</v>
      </c>
      <c r="T57" s="9" t="s">
        <v>925</v>
      </c>
      <c r="U57" s="66" t="s">
        <v>28</v>
      </c>
    </row>
    <row r="58" spans="1:21" ht="12.6" customHeight="1">
      <c r="A58" s="73" t="s">
        <v>32</v>
      </c>
      <c r="B58" s="114" t="s">
        <v>850</v>
      </c>
      <c r="C58" s="9">
        <v>100</v>
      </c>
      <c r="D58" s="10">
        <v>2.8</v>
      </c>
      <c r="E58" s="9">
        <f t="shared" si="15"/>
        <v>160</v>
      </c>
      <c r="F58" s="64" t="s">
        <v>160</v>
      </c>
      <c r="G58" s="34">
        <v>0.45</v>
      </c>
      <c r="H58" s="76">
        <v>0.74</v>
      </c>
      <c r="I58" s="9">
        <v>86.8</v>
      </c>
      <c r="J58" s="9">
        <v>76.400000000000006</v>
      </c>
      <c r="K58" s="50">
        <v>67</v>
      </c>
      <c r="L58" s="65">
        <f>AVERAGE(408,375,479,655,580,449,521)</f>
        <v>495.28571428571428</v>
      </c>
      <c r="M58" s="9" t="s">
        <v>1171</v>
      </c>
      <c r="N58" s="65">
        <f>AVERAGE(850,860,780,815,848,975,885)</f>
        <v>859</v>
      </c>
      <c r="O58" s="9" t="s">
        <v>1100</v>
      </c>
      <c r="P58" s="65">
        <f>799*CA.US</f>
        <v>607.24</v>
      </c>
      <c r="Q58" s="9" t="s">
        <v>1061</v>
      </c>
      <c r="R58" s="66" t="s">
        <v>537</v>
      </c>
      <c r="S58" s="79" t="s">
        <v>14</v>
      </c>
      <c r="T58" s="9" t="s">
        <v>14</v>
      </c>
      <c r="U58" s="66" t="s">
        <v>14</v>
      </c>
    </row>
    <row r="59" spans="1:21" ht="12.6" customHeight="1">
      <c r="A59" s="73" t="s">
        <v>32</v>
      </c>
      <c r="B59" s="46" t="s">
        <v>851</v>
      </c>
      <c r="C59" s="9">
        <v>100</v>
      </c>
      <c r="D59" s="10">
        <v>3.5</v>
      </c>
      <c r="E59" s="9">
        <f t="shared" si="15"/>
        <v>160</v>
      </c>
      <c r="F59" s="200" t="s">
        <v>160</v>
      </c>
      <c r="G59" s="75">
        <v>1</v>
      </c>
      <c r="H59" s="76">
        <v>0.28599999999999998</v>
      </c>
      <c r="I59" s="9">
        <v>61</v>
      </c>
      <c r="J59" s="9">
        <v>62.5</v>
      </c>
      <c r="K59" s="10">
        <v>55</v>
      </c>
      <c r="L59" s="65">
        <f>AVERAGE(350,300,270,300,29,255,340,234,250,294,280)</f>
        <v>263.81818181818181</v>
      </c>
      <c r="M59" s="25" t="s">
        <v>1153</v>
      </c>
      <c r="N59" s="65">
        <f>AVERAGE(350,349,370,485,400,550)</f>
        <v>417.33333333333331</v>
      </c>
      <c r="O59" s="25" t="s">
        <v>1118</v>
      </c>
      <c r="P59" s="65">
        <v>425</v>
      </c>
      <c r="Q59" s="9" t="s">
        <v>892</v>
      </c>
      <c r="R59" s="50" t="s">
        <v>400</v>
      </c>
      <c r="S59" s="65">
        <v>525</v>
      </c>
      <c r="T59" s="9" t="s">
        <v>892</v>
      </c>
      <c r="U59" s="50" t="s">
        <v>400</v>
      </c>
    </row>
    <row r="60" spans="1:21" ht="12.6" customHeight="1">
      <c r="A60" s="73" t="s">
        <v>32</v>
      </c>
      <c r="B60" s="114" t="s">
        <v>852</v>
      </c>
      <c r="C60" s="9">
        <v>100</v>
      </c>
      <c r="D60" s="10">
        <v>4</v>
      </c>
      <c r="E60" s="9">
        <f t="shared" si="15"/>
        <v>160</v>
      </c>
      <c r="F60" s="64" t="s">
        <v>160</v>
      </c>
      <c r="G60" s="34" t="s">
        <v>29</v>
      </c>
      <c r="H60" s="76">
        <v>0.28000000000000003</v>
      </c>
      <c r="I60" s="9">
        <v>48.5</v>
      </c>
      <c r="J60" s="9">
        <v>62.5</v>
      </c>
      <c r="K60" s="50">
        <v>55</v>
      </c>
      <c r="L60" s="65">
        <f>AVERAGE(0)</f>
        <v>0</v>
      </c>
      <c r="M60" s="9" t="s">
        <v>14</v>
      </c>
      <c r="N60" s="65">
        <f>AVERAGE(488)</f>
        <v>488</v>
      </c>
      <c r="O60" s="9" t="s">
        <v>1110</v>
      </c>
      <c r="P60" s="65" t="s">
        <v>14</v>
      </c>
      <c r="Q60" s="9" t="s">
        <v>14</v>
      </c>
      <c r="R60" s="66" t="s">
        <v>14</v>
      </c>
      <c r="S60" s="79">
        <v>2000</v>
      </c>
      <c r="T60" s="9" t="s">
        <v>892</v>
      </c>
      <c r="U60" s="66" t="s">
        <v>400</v>
      </c>
    </row>
    <row r="61" spans="1:21" ht="12.6" customHeight="1">
      <c r="A61" s="73" t="s">
        <v>32</v>
      </c>
      <c r="B61" s="114" t="s">
        <v>853</v>
      </c>
      <c r="C61" s="9">
        <v>135</v>
      </c>
      <c r="D61" s="10">
        <v>2</v>
      </c>
      <c r="E61" s="9">
        <f t="shared" si="15"/>
        <v>216</v>
      </c>
      <c r="F61" s="64" t="s">
        <v>160</v>
      </c>
      <c r="G61" s="34">
        <v>1.5</v>
      </c>
      <c r="H61" s="76">
        <v>0.79</v>
      </c>
      <c r="I61" s="9">
        <v>101</v>
      </c>
      <c r="J61" s="9">
        <v>75</v>
      </c>
      <c r="K61" s="50">
        <v>72</v>
      </c>
      <c r="L61" s="65">
        <f>AVERAGE(775,771,688,745,640,800,1053,928,899,888,689,709,700,794)</f>
        <v>791.35714285714289</v>
      </c>
      <c r="M61" s="9" t="s">
        <v>1118</v>
      </c>
      <c r="N61" s="65">
        <f>AVERAGE(1239,1199,1538,1120,1298,1333,1335,1148,1245,1380,1125,1116,1380,1398,1100)</f>
        <v>1263.5999999999999</v>
      </c>
      <c r="O61" s="9" t="s">
        <v>1176</v>
      </c>
      <c r="P61" s="65">
        <f>CA.US*1150</f>
        <v>874</v>
      </c>
      <c r="Q61" s="9" t="s">
        <v>1005</v>
      </c>
      <c r="R61" s="66" t="s">
        <v>873</v>
      </c>
      <c r="S61" s="79">
        <v>2100</v>
      </c>
      <c r="T61" s="9" t="s">
        <v>892</v>
      </c>
      <c r="U61" s="66" t="s">
        <v>400</v>
      </c>
    </row>
    <row r="62" spans="1:21" ht="12.6" customHeight="1">
      <c r="A62" s="67" t="s">
        <v>32</v>
      </c>
      <c r="B62" s="67" t="s">
        <v>854</v>
      </c>
      <c r="C62" s="36">
        <v>135</v>
      </c>
      <c r="D62" s="71">
        <v>2.8</v>
      </c>
      <c r="E62" s="36">
        <f t="shared" si="15"/>
        <v>216</v>
      </c>
      <c r="F62" s="69" t="s">
        <v>160</v>
      </c>
      <c r="G62" s="59">
        <v>1.6</v>
      </c>
      <c r="H62" s="40">
        <v>0.58499999999999996</v>
      </c>
      <c r="I62" s="36">
        <v>93</v>
      </c>
      <c r="J62" s="36">
        <v>68.5</v>
      </c>
      <c r="K62" s="52">
        <v>55</v>
      </c>
      <c r="L62" s="61">
        <f>AVERAGE(195,140,200,149,190,153,220,217,193,191,190,199)</f>
        <v>186.41666666666666</v>
      </c>
      <c r="M62" s="36" t="s">
        <v>1171</v>
      </c>
      <c r="N62" s="61">
        <f>AVERAGE(230,260,279,209,200,236,249,288,279,210,264)</f>
        <v>245.81818181818181</v>
      </c>
      <c r="O62" s="52" t="s">
        <v>1171</v>
      </c>
      <c r="P62" s="61">
        <v>220</v>
      </c>
      <c r="Q62" s="36" t="s">
        <v>1171</v>
      </c>
      <c r="R62" s="52" t="s">
        <v>1157</v>
      </c>
      <c r="S62" s="61">
        <v>325</v>
      </c>
      <c r="T62" s="36" t="s">
        <v>723</v>
      </c>
      <c r="U62" s="52" t="s">
        <v>27</v>
      </c>
    </row>
    <row r="63" spans="1:21" ht="12.6" customHeight="1">
      <c r="A63" s="73" t="s">
        <v>32</v>
      </c>
      <c r="B63" s="114" t="s">
        <v>855</v>
      </c>
      <c r="C63" s="9">
        <v>180</v>
      </c>
      <c r="D63" s="10">
        <v>2.8</v>
      </c>
      <c r="E63" s="9">
        <f t="shared" si="15"/>
        <v>288</v>
      </c>
      <c r="F63" s="64" t="s">
        <v>160</v>
      </c>
      <c r="G63" s="34">
        <v>1.4</v>
      </c>
      <c r="H63" s="76">
        <v>0.98499999999999999</v>
      </c>
      <c r="I63" s="9">
        <v>131</v>
      </c>
      <c r="J63" s="9">
        <v>82</v>
      </c>
      <c r="K63" s="50">
        <v>72</v>
      </c>
      <c r="L63" s="65">
        <f>AVERAGE(298,259,324,262,270,300,275,236,289,325,290,320,323)</f>
        <v>290.07692307692309</v>
      </c>
      <c r="M63" s="9" t="s">
        <v>1153</v>
      </c>
      <c r="N63" s="65">
        <f>AVERAGE(328,420,352,360,398,361,390,404,400)</f>
        <v>379.22222222222223</v>
      </c>
      <c r="O63" s="9" t="s">
        <v>1153</v>
      </c>
      <c r="P63" s="65">
        <v>400</v>
      </c>
      <c r="Q63" s="9" t="s">
        <v>1153</v>
      </c>
      <c r="R63" s="66" t="s">
        <v>30</v>
      </c>
      <c r="S63" s="79" t="s">
        <v>1134</v>
      </c>
      <c r="T63" s="9" t="s">
        <v>1153</v>
      </c>
      <c r="U63" s="66" t="s">
        <v>26</v>
      </c>
    </row>
    <row r="64" spans="1:21" ht="12.6" customHeight="1">
      <c r="A64" s="73" t="s">
        <v>32</v>
      </c>
      <c r="B64" s="114" t="s">
        <v>856</v>
      </c>
      <c r="C64" s="9">
        <v>200</v>
      </c>
      <c r="D64" s="10">
        <v>2</v>
      </c>
      <c r="E64" s="9">
        <f t="shared" si="15"/>
        <v>320</v>
      </c>
      <c r="F64" s="64" t="s">
        <v>160</v>
      </c>
      <c r="G64" s="34">
        <v>1.8</v>
      </c>
      <c r="H64" s="76">
        <v>2.6</v>
      </c>
      <c r="I64" s="9">
        <v>182</v>
      </c>
      <c r="J64" s="9">
        <v>123</v>
      </c>
      <c r="K64" s="50">
        <v>111</v>
      </c>
      <c r="L64" s="65">
        <f>AVERAGE(0)</f>
        <v>0</v>
      </c>
      <c r="M64" s="9" t="s">
        <v>14</v>
      </c>
      <c r="N64" s="65">
        <f>AVERAGE(3430)</f>
        <v>3430</v>
      </c>
      <c r="O64" s="9" t="s">
        <v>1171</v>
      </c>
      <c r="P64" s="65">
        <v>4999</v>
      </c>
      <c r="Q64" s="9" t="s">
        <v>639</v>
      </c>
      <c r="R64" s="66" t="s">
        <v>28</v>
      </c>
      <c r="S64" s="79">
        <v>4995</v>
      </c>
      <c r="T64" s="9" t="s">
        <v>672</v>
      </c>
      <c r="U64" s="66" t="s">
        <v>27</v>
      </c>
    </row>
    <row r="65" spans="1:21" ht="12.6" customHeight="1">
      <c r="A65" s="73" t="s">
        <v>32</v>
      </c>
      <c r="B65" s="114" t="s">
        <v>857</v>
      </c>
      <c r="C65" s="9">
        <v>200</v>
      </c>
      <c r="D65" s="10">
        <v>3.5</v>
      </c>
      <c r="E65" s="9">
        <f t="shared" si="15"/>
        <v>320</v>
      </c>
      <c r="F65" s="64" t="s">
        <v>160</v>
      </c>
      <c r="G65" s="34">
        <v>1.8</v>
      </c>
      <c r="H65" s="76">
        <v>0.78</v>
      </c>
      <c r="I65" s="9">
        <v>122</v>
      </c>
      <c r="J65" s="9">
        <v>77.5</v>
      </c>
      <c r="K65" s="50">
        <v>67</v>
      </c>
      <c r="L65" s="65">
        <f>AVERAGE(160,190,140,146,134,116,125,185,125,145,150)</f>
        <v>146.90909090909091</v>
      </c>
      <c r="M65" s="9" t="s">
        <v>1153</v>
      </c>
      <c r="N65" s="65">
        <f>AVERAGE(229,248,257,259,248,358,245,295,313,243,250)</f>
        <v>267.72727272727275</v>
      </c>
      <c r="O65" s="9" t="s">
        <v>924</v>
      </c>
      <c r="P65" s="65">
        <v>250</v>
      </c>
      <c r="Q65" s="9" t="s">
        <v>1153</v>
      </c>
      <c r="R65" s="66" t="s">
        <v>30</v>
      </c>
      <c r="S65" s="79">
        <v>270</v>
      </c>
      <c r="T65" s="9" t="s">
        <v>1171</v>
      </c>
      <c r="U65" s="66" t="s">
        <v>1157</v>
      </c>
    </row>
    <row r="66" spans="1:21" ht="12.6" customHeight="1">
      <c r="A66" s="67" t="s">
        <v>32</v>
      </c>
      <c r="B66" s="67" t="s">
        <v>858</v>
      </c>
      <c r="C66" s="36">
        <v>200</v>
      </c>
      <c r="D66" s="71">
        <v>4</v>
      </c>
      <c r="E66" s="36">
        <f t="shared" si="15"/>
        <v>320</v>
      </c>
      <c r="F66" s="69" t="s">
        <v>160</v>
      </c>
      <c r="G66" s="59">
        <v>2</v>
      </c>
      <c r="H66" s="40">
        <v>0.55000000000000004</v>
      </c>
      <c r="I66" s="36">
        <v>120.7</v>
      </c>
      <c r="J66" s="36">
        <v>66</v>
      </c>
      <c r="K66" s="52">
        <v>55</v>
      </c>
      <c r="L66" s="61">
        <f>AVERAGE(184,158,180,125,150,135,173,191,203,189,149,141)</f>
        <v>164.83333333333334</v>
      </c>
      <c r="M66" s="36" t="s">
        <v>1153</v>
      </c>
      <c r="N66" s="61">
        <f>AVERAGE(240,299,193,250,378,235,285,262,255,255)</f>
        <v>265.2</v>
      </c>
      <c r="O66" s="52" t="s">
        <v>1118</v>
      </c>
      <c r="P66" s="61">
        <f>229*CA.US</f>
        <v>174.04</v>
      </c>
      <c r="Q66" s="36" t="s">
        <v>681</v>
      </c>
      <c r="R66" s="52" t="s">
        <v>537</v>
      </c>
      <c r="S66" s="61">
        <v>450</v>
      </c>
      <c r="T66" s="36" t="s">
        <v>496</v>
      </c>
      <c r="U66" s="52" t="s">
        <v>33</v>
      </c>
    </row>
    <row r="67" spans="1:21" ht="12.6" customHeight="1">
      <c r="A67" s="73" t="s">
        <v>32</v>
      </c>
      <c r="B67" s="114" t="s">
        <v>859</v>
      </c>
      <c r="C67" s="9">
        <v>300</v>
      </c>
      <c r="D67" s="10">
        <v>2.8</v>
      </c>
      <c r="E67" s="9">
        <f t="shared" si="15"/>
        <v>480</v>
      </c>
      <c r="F67" s="64" t="s">
        <v>160</v>
      </c>
      <c r="G67" s="34">
        <v>3.5</v>
      </c>
      <c r="H67" s="76">
        <v>2.73</v>
      </c>
      <c r="I67" s="9">
        <v>244</v>
      </c>
      <c r="J67" s="9">
        <v>120</v>
      </c>
      <c r="K67" s="50">
        <v>111</v>
      </c>
      <c r="L67" s="65">
        <f>AVERAGE(5111)</f>
        <v>5111</v>
      </c>
      <c r="M67" s="20" t="s">
        <v>924</v>
      </c>
      <c r="N67" s="65" t="s">
        <v>926</v>
      </c>
      <c r="O67" s="20" t="s">
        <v>708</v>
      </c>
      <c r="P67" s="65" t="s">
        <v>14</v>
      </c>
      <c r="Q67" s="9" t="s">
        <v>14</v>
      </c>
      <c r="R67" s="66" t="s">
        <v>14</v>
      </c>
      <c r="S67" s="79">
        <v>14000</v>
      </c>
      <c r="T67" s="9" t="s">
        <v>892</v>
      </c>
      <c r="U67" s="66" t="s">
        <v>400</v>
      </c>
    </row>
    <row r="68" spans="1:21" ht="12.6" customHeight="1">
      <c r="A68" s="73" t="s">
        <v>32</v>
      </c>
      <c r="B68" s="114" t="s">
        <v>860</v>
      </c>
      <c r="C68" s="9">
        <v>300</v>
      </c>
      <c r="D68" s="10">
        <v>4</v>
      </c>
      <c r="E68" s="9">
        <f t="shared" si="15"/>
        <v>480</v>
      </c>
      <c r="F68" s="64" t="s">
        <v>160</v>
      </c>
      <c r="G68" s="34">
        <v>3.5</v>
      </c>
      <c r="H68" s="76">
        <v>1.2</v>
      </c>
      <c r="I68" s="9">
        <v>205</v>
      </c>
      <c r="J68" s="9">
        <v>88</v>
      </c>
      <c r="K68" s="50">
        <v>82</v>
      </c>
      <c r="L68" s="65">
        <f>AVERAGE(210,302,250,224,238,278,218,260,259,269,335,299,275)</f>
        <v>262.84615384615387</v>
      </c>
      <c r="M68" s="50" t="s">
        <v>1176</v>
      </c>
      <c r="N68" s="65">
        <f>AVERAGE(380,500,350,414,400,414)</f>
        <v>409.66666666666669</v>
      </c>
      <c r="O68" s="20" t="s">
        <v>1118</v>
      </c>
      <c r="P68" s="65">
        <v>500</v>
      </c>
      <c r="Q68" s="9" t="s">
        <v>1153</v>
      </c>
      <c r="R68" s="66" t="s">
        <v>30</v>
      </c>
      <c r="S68" s="79">
        <v>350</v>
      </c>
      <c r="T68" s="9" t="s">
        <v>925</v>
      </c>
      <c r="U68" s="66" t="s">
        <v>27</v>
      </c>
    </row>
    <row r="69" spans="1:21" ht="12.6" customHeight="1">
      <c r="A69" s="73" t="s">
        <v>32</v>
      </c>
      <c r="B69" s="114" t="s">
        <v>861</v>
      </c>
      <c r="C69" s="9">
        <v>500</v>
      </c>
      <c r="D69" s="10">
        <v>5.6</v>
      </c>
      <c r="E69" s="9">
        <f t="shared" si="15"/>
        <v>800</v>
      </c>
      <c r="F69" s="64" t="s">
        <v>160</v>
      </c>
      <c r="G69" s="34">
        <v>4.9000000000000004</v>
      </c>
      <c r="H69" s="76">
        <v>1.865</v>
      </c>
      <c r="I69" s="9">
        <v>290</v>
      </c>
      <c r="J69" s="9">
        <v>112</v>
      </c>
      <c r="K69" s="50" t="s">
        <v>295</v>
      </c>
      <c r="L69" s="65">
        <f>AVERAGE(0)</f>
        <v>0</v>
      </c>
      <c r="M69" s="20" t="s">
        <v>14</v>
      </c>
      <c r="N69" s="65">
        <f>AVERAGE(0)</f>
        <v>0</v>
      </c>
      <c r="O69" s="20" t="s">
        <v>14</v>
      </c>
      <c r="P69" s="65" t="s">
        <v>14</v>
      </c>
      <c r="Q69" s="9" t="s">
        <v>14</v>
      </c>
      <c r="R69" s="66" t="s">
        <v>14</v>
      </c>
      <c r="S69" s="79" t="s">
        <v>14</v>
      </c>
      <c r="T69" s="9" t="s">
        <v>14</v>
      </c>
      <c r="U69" s="66" t="s">
        <v>14</v>
      </c>
    </row>
    <row r="70" spans="1:21" ht="12.6" customHeight="1">
      <c r="A70" s="67" t="s">
        <v>32</v>
      </c>
      <c r="B70" s="67" t="s">
        <v>862</v>
      </c>
      <c r="C70" s="36">
        <v>800</v>
      </c>
      <c r="D70" s="71">
        <v>8</v>
      </c>
      <c r="E70" s="36">
        <f t="shared" si="15"/>
        <v>1280</v>
      </c>
      <c r="F70" s="69" t="s">
        <v>160</v>
      </c>
      <c r="G70" s="59">
        <v>4</v>
      </c>
      <c r="H70" s="40">
        <v>3.25</v>
      </c>
      <c r="I70" s="36">
        <v>505</v>
      </c>
      <c r="J70" s="36">
        <v>128.5</v>
      </c>
      <c r="K70" s="52" t="s">
        <v>295</v>
      </c>
      <c r="L70" s="61">
        <f>AVERAGE(0)</f>
        <v>0</v>
      </c>
      <c r="M70" s="36" t="s">
        <v>14</v>
      </c>
      <c r="N70" s="61">
        <f>AVERAGE(0)</f>
        <v>0</v>
      </c>
      <c r="O70" s="52" t="s">
        <v>14</v>
      </c>
      <c r="P70" s="61" t="s">
        <v>14</v>
      </c>
      <c r="Q70" s="36" t="s">
        <v>14</v>
      </c>
      <c r="R70" s="52" t="s">
        <v>14</v>
      </c>
      <c r="S70" s="61" t="s">
        <v>14</v>
      </c>
      <c r="T70" s="36" t="s">
        <v>14</v>
      </c>
      <c r="U70" s="52" t="s">
        <v>14</v>
      </c>
    </row>
    <row r="71" spans="1:21" ht="12.6" customHeight="1">
      <c r="A71" s="73" t="s">
        <v>32</v>
      </c>
      <c r="B71" s="73" t="s">
        <v>863</v>
      </c>
      <c r="C71" s="9" t="s">
        <v>54</v>
      </c>
      <c r="D71" s="10" t="s">
        <v>70</v>
      </c>
      <c r="E71" s="9" t="s">
        <v>91</v>
      </c>
      <c r="F71" s="64" t="s">
        <v>160</v>
      </c>
      <c r="G71" s="75">
        <v>0.5</v>
      </c>
      <c r="H71" s="76">
        <v>0.32</v>
      </c>
      <c r="I71" s="9">
        <v>68</v>
      </c>
      <c r="J71" s="9">
        <v>70</v>
      </c>
      <c r="K71" s="50">
        <v>67</v>
      </c>
      <c r="L71" s="65">
        <f>AVERAGE(178,239,200,240,219,250,249,250,249,208,203,203)</f>
        <v>224</v>
      </c>
      <c r="M71" s="9" t="s">
        <v>1171</v>
      </c>
      <c r="N71" s="65">
        <f>AVERAGE(271,291,307,280,298,288,250,274,339,268,300,338,325,328)</f>
        <v>296.92857142857144</v>
      </c>
      <c r="O71" s="9" t="s">
        <v>1176</v>
      </c>
      <c r="P71" s="65">
        <v>250</v>
      </c>
      <c r="Q71" s="9" t="s">
        <v>1153</v>
      </c>
      <c r="R71" s="66" t="s">
        <v>30</v>
      </c>
      <c r="S71" s="79">
        <v>300</v>
      </c>
      <c r="T71" s="9" t="s">
        <v>723</v>
      </c>
      <c r="U71" s="66" t="s">
        <v>30</v>
      </c>
    </row>
    <row r="72" spans="1:21" ht="12.6" customHeight="1">
      <c r="A72" s="73" t="s">
        <v>32</v>
      </c>
      <c r="B72" s="73" t="s">
        <v>864</v>
      </c>
      <c r="C72" s="9" t="s">
        <v>148</v>
      </c>
      <c r="D72" s="10" t="s">
        <v>149</v>
      </c>
      <c r="E72" s="9" t="s">
        <v>150</v>
      </c>
      <c r="F72" s="64" t="s">
        <v>160</v>
      </c>
      <c r="G72" s="75">
        <v>0.61</v>
      </c>
      <c r="H72" s="76">
        <v>0.74</v>
      </c>
      <c r="I72" s="9">
        <v>99</v>
      </c>
      <c r="J72" s="9">
        <v>86</v>
      </c>
      <c r="K72" s="50">
        <v>82</v>
      </c>
      <c r="L72" s="65">
        <f>AVERAGE(270,280,290,279,259,299,280,235,330,318,310)</f>
        <v>286.36363636363637</v>
      </c>
      <c r="M72" s="9" t="s">
        <v>1171</v>
      </c>
      <c r="N72" s="65">
        <f>AVERAGE(340,410,525,396,400,398,450,390,397,439,418)</f>
        <v>414.81818181818181</v>
      </c>
      <c r="O72" s="9" t="s">
        <v>1118</v>
      </c>
      <c r="P72" s="65">
        <v>350</v>
      </c>
      <c r="Q72" s="9" t="s">
        <v>954</v>
      </c>
      <c r="R72" s="66" t="s">
        <v>830</v>
      </c>
      <c r="S72" s="79">
        <v>650</v>
      </c>
      <c r="T72" s="9" t="s">
        <v>639</v>
      </c>
      <c r="U72" s="66" t="s">
        <v>30</v>
      </c>
    </row>
    <row r="73" spans="1:21" s="26" customFormat="1" ht="12.6" customHeight="1">
      <c r="A73" s="73" t="s">
        <v>32</v>
      </c>
      <c r="B73" s="46" t="s">
        <v>865</v>
      </c>
      <c r="C73" s="9" t="s">
        <v>114</v>
      </c>
      <c r="D73" s="10">
        <v>3.4</v>
      </c>
      <c r="E73" s="50" t="s">
        <v>153</v>
      </c>
      <c r="F73" s="9" t="s">
        <v>160</v>
      </c>
      <c r="G73" s="75">
        <v>0.25</v>
      </c>
      <c r="H73" s="76">
        <v>0.47499999999999998</v>
      </c>
      <c r="I73" s="9">
        <v>80.5</v>
      </c>
      <c r="J73" s="9">
        <v>70</v>
      </c>
      <c r="K73" s="10">
        <v>67</v>
      </c>
      <c r="L73" s="65">
        <f>AVERAGE(328,356,338,370,310,367,340,370,275,378)</f>
        <v>343.2</v>
      </c>
      <c r="M73" s="25" t="s">
        <v>1171</v>
      </c>
      <c r="N73" s="65">
        <f>AVERAGE(510,490,480,461,460,500,480,400,488,460,410,450,450,455)</f>
        <v>463.85714285714283</v>
      </c>
      <c r="O73" s="118" t="s">
        <v>1171</v>
      </c>
      <c r="P73" s="65">
        <v>400</v>
      </c>
      <c r="Q73" s="25" t="s">
        <v>1153</v>
      </c>
      <c r="R73" s="50" t="s">
        <v>30</v>
      </c>
      <c r="S73" s="65">
        <v>665</v>
      </c>
      <c r="T73" s="25" t="s">
        <v>542</v>
      </c>
      <c r="U73" s="50" t="s">
        <v>28</v>
      </c>
    </row>
    <row r="74" spans="1:21" ht="12.6" customHeight="1">
      <c r="A74" s="73" t="s">
        <v>32</v>
      </c>
      <c r="B74" s="73" t="s">
        <v>866</v>
      </c>
      <c r="C74" s="9" t="s">
        <v>151</v>
      </c>
      <c r="D74" s="10" t="s">
        <v>149</v>
      </c>
      <c r="E74" s="9" t="s">
        <v>152</v>
      </c>
      <c r="F74" s="64" t="s">
        <v>160</v>
      </c>
      <c r="G74" s="75">
        <v>0.26</v>
      </c>
      <c r="H74" s="76">
        <v>0.73499999999999999</v>
      </c>
      <c r="I74" s="9">
        <v>107</v>
      </c>
      <c r="J74" s="9">
        <v>85</v>
      </c>
      <c r="K74" s="50">
        <v>82</v>
      </c>
      <c r="L74" s="9">
        <f>AVERAGE(480,670,630,509,669,760,649,695,772,690)</f>
        <v>652.4</v>
      </c>
      <c r="M74" s="9" t="s">
        <v>1171</v>
      </c>
      <c r="N74" s="65">
        <f>AVERAGE(828,799,669,880,848,820,699,880,970,948,1000,905,885)</f>
        <v>856.23076923076928</v>
      </c>
      <c r="O74" s="9" t="s">
        <v>1118</v>
      </c>
      <c r="P74" s="65">
        <v>695</v>
      </c>
      <c r="Q74" s="9" t="s">
        <v>951</v>
      </c>
      <c r="R74" s="66" t="s">
        <v>27</v>
      </c>
      <c r="S74" s="79">
        <v>1150</v>
      </c>
      <c r="T74" s="9" t="s">
        <v>892</v>
      </c>
      <c r="U74" s="66" t="s">
        <v>400</v>
      </c>
    </row>
    <row r="75" spans="1:21" ht="12.6" customHeight="1">
      <c r="A75" s="73" t="s">
        <v>32</v>
      </c>
      <c r="B75" s="73" t="s">
        <v>867</v>
      </c>
      <c r="C75" s="9" t="s">
        <v>184</v>
      </c>
      <c r="D75" s="10">
        <v>3.5</v>
      </c>
      <c r="E75" s="9" t="s">
        <v>185</v>
      </c>
      <c r="F75" s="64" t="s">
        <v>160</v>
      </c>
      <c r="G75" s="75">
        <v>1.2</v>
      </c>
      <c r="H75" s="76">
        <v>0.66</v>
      </c>
      <c r="I75" s="9">
        <v>87</v>
      </c>
      <c r="J75" s="9">
        <v>67</v>
      </c>
      <c r="K75" s="50">
        <v>55</v>
      </c>
      <c r="L75" s="9">
        <f>AVERAGE(199,171,219,230,206,180,171,195)</f>
        <v>196.375</v>
      </c>
      <c r="M75" s="9" t="s">
        <v>1118</v>
      </c>
      <c r="N75" s="65">
        <f>AVERAGE(338,205,190,199,190)</f>
        <v>224.4</v>
      </c>
      <c r="O75" s="9" t="s">
        <v>1153</v>
      </c>
      <c r="P75" s="65">
        <v>290</v>
      </c>
      <c r="Q75" s="9" t="s">
        <v>639</v>
      </c>
      <c r="R75" s="66" t="s">
        <v>28</v>
      </c>
      <c r="S75" s="79">
        <v>400</v>
      </c>
      <c r="T75" s="9" t="s">
        <v>542</v>
      </c>
      <c r="U75" s="66" t="s">
        <v>400</v>
      </c>
    </row>
    <row r="76" spans="1:21" ht="12.6" customHeight="1">
      <c r="A76" s="73" t="s">
        <v>32</v>
      </c>
      <c r="B76" s="73" t="s">
        <v>868</v>
      </c>
      <c r="C76" s="9" t="s">
        <v>108</v>
      </c>
      <c r="D76" s="10">
        <v>3.5</v>
      </c>
      <c r="E76" s="25" t="s">
        <v>154</v>
      </c>
      <c r="F76" s="64" t="s">
        <v>160</v>
      </c>
      <c r="G76" s="84">
        <v>1.8</v>
      </c>
      <c r="H76" s="85">
        <v>1.145</v>
      </c>
      <c r="I76" s="81">
        <v>186</v>
      </c>
      <c r="J76" s="81">
        <v>77</v>
      </c>
      <c r="K76" s="86">
        <v>67</v>
      </c>
      <c r="L76" s="9">
        <f>AVERAGE(550,795,789,718,650)</f>
        <v>700.4</v>
      </c>
      <c r="M76" s="9" t="s">
        <v>1118</v>
      </c>
      <c r="N76" s="65">
        <f>AVERAGE(880)</f>
        <v>880</v>
      </c>
      <c r="O76" s="9" t="s">
        <v>1110</v>
      </c>
      <c r="P76" s="65">
        <v>695</v>
      </c>
      <c r="Q76" s="9" t="s">
        <v>951</v>
      </c>
      <c r="R76" s="66" t="s">
        <v>27</v>
      </c>
      <c r="S76" s="79">
        <v>1500</v>
      </c>
      <c r="T76" s="9" t="s">
        <v>639</v>
      </c>
      <c r="U76" s="66" t="s">
        <v>30</v>
      </c>
    </row>
    <row r="77" spans="1:21" ht="12.6" customHeight="1">
      <c r="A77" s="73" t="s">
        <v>32</v>
      </c>
      <c r="B77" s="73" t="s">
        <v>869</v>
      </c>
      <c r="C77" s="9" t="s">
        <v>61</v>
      </c>
      <c r="D77" s="10">
        <v>4</v>
      </c>
      <c r="E77" s="9" t="s">
        <v>62</v>
      </c>
      <c r="F77" s="64" t="s">
        <v>160</v>
      </c>
      <c r="G77" s="75">
        <v>1</v>
      </c>
      <c r="H77" s="76">
        <v>0.68</v>
      </c>
      <c r="I77" s="9">
        <v>160.5</v>
      </c>
      <c r="J77" s="9">
        <v>67</v>
      </c>
      <c r="K77" s="50">
        <v>55</v>
      </c>
      <c r="L77" s="9">
        <f>AVERAGE(173,172,195,220,180,156,220,196,225,153,174,218,180)</f>
        <v>189.38461538461539</v>
      </c>
      <c r="M77" s="9" t="s">
        <v>1176</v>
      </c>
      <c r="N77" s="65">
        <f>AVERAGE(219,220,219,239,280,265,270,310)</f>
        <v>252.75</v>
      </c>
      <c r="O77" s="9" t="s">
        <v>1153</v>
      </c>
      <c r="P77" s="65">
        <v>280</v>
      </c>
      <c r="Q77" s="9" t="s">
        <v>964</v>
      </c>
      <c r="R77" s="66" t="s">
        <v>30</v>
      </c>
      <c r="S77" s="79">
        <v>400</v>
      </c>
      <c r="T77" s="9" t="s">
        <v>670</v>
      </c>
      <c r="U77" s="66" t="s">
        <v>400</v>
      </c>
    </row>
    <row r="78" spans="1:21" ht="12.6" customHeight="1">
      <c r="A78" s="67" t="s">
        <v>32</v>
      </c>
      <c r="B78" s="67" t="s">
        <v>870</v>
      </c>
      <c r="C78" s="36" t="s">
        <v>72</v>
      </c>
      <c r="D78" s="71" t="s">
        <v>75</v>
      </c>
      <c r="E78" s="36" t="s">
        <v>73</v>
      </c>
      <c r="F78" s="69" t="s">
        <v>160</v>
      </c>
      <c r="G78" s="59">
        <v>1.5</v>
      </c>
      <c r="H78" s="40">
        <v>0.92500000000000004</v>
      </c>
      <c r="I78" s="36">
        <v>143</v>
      </c>
      <c r="J78" s="36">
        <v>70</v>
      </c>
      <c r="K78" s="52">
        <v>67</v>
      </c>
      <c r="L78" s="36">
        <f>AVERAGE(695,800,824,819,777,789,750,820,842,810,789,868)</f>
        <v>798.58333333333337</v>
      </c>
      <c r="M78" s="68" t="s">
        <v>1153</v>
      </c>
      <c r="N78" s="61">
        <f>AVERAGE(990,960,899,1100,980,927,970,970,949,969)</f>
        <v>971.4</v>
      </c>
      <c r="O78" s="68" t="s">
        <v>1171</v>
      </c>
      <c r="P78" s="61">
        <v>880</v>
      </c>
      <c r="Q78" s="36" t="s">
        <v>708</v>
      </c>
      <c r="R78" s="52" t="s">
        <v>28</v>
      </c>
      <c r="S78" s="61">
        <v>1270</v>
      </c>
      <c r="T78" s="36" t="s">
        <v>476</v>
      </c>
      <c r="U78" s="52" t="s">
        <v>28</v>
      </c>
    </row>
    <row r="79" spans="1:21" s="26" customFormat="1" ht="12" customHeight="1">
      <c r="A79" s="137" t="s">
        <v>319</v>
      </c>
      <c r="B79" s="130"/>
      <c r="C79" s="43"/>
      <c r="D79" s="131"/>
      <c r="E79" s="43"/>
      <c r="F79" s="135" t="s">
        <v>14</v>
      </c>
      <c r="G79" s="138" t="s">
        <v>14</v>
      </c>
      <c r="H79" s="134" t="s">
        <v>14</v>
      </c>
      <c r="I79" s="43" t="s">
        <v>14</v>
      </c>
      <c r="J79" s="43" t="s">
        <v>14</v>
      </c>
      <c r="K79" s="43" t="s">
        <v>14</v>
      </c>
      <c r="L79" s="43" t="s">
        <v>14</v>
      </c>
      <c r="M79" s="43" t="s">
        <v>14</v>
      </c>
      <c r="N79" s="43" t="s">
        <v>14</v>
      </c>
      <c r="O79" s="43" t="s">
        <v>14</v>
      </c>
      <c r="P79" s="43" t="s">
        <v>14</v>
      </c>
      <c r="Q79" s="43" t="s">
        <v>14</v>
      </c>
      <c r="R79" s="43" t="s">
        <v>14</v>
      </c>
      <c r="S79" s="43" t="s">
        <v>14</v>
      </c>
      <c r="T79" s="43" t="s">
        <v>14</v>
      </c>
      <c r="U79" s="43" t="s">
        <v>14</v>
      </c>
    </row>
    <row r="80" spans="1:21" ht="12.6" customHeight="1">
      <c r="A80" s="73" t="s">
        <v>32</v>
      </c>
      <c r="B80" s="73" t="s">
        <v>289</v>
      </c>
      <c r="C80" s="9">
        <v>50</v>
      </c>
      <c r="D80" s="10">
        <v>1.4</v>
      </c>
      <c r="E80" s="9">
        <f>1.6*C80</f>
        <v>80</v>
      </c>
      <c r="F80" s="64" t="s">
        <v>287</v>
      </c>
      <c r="G80" s="75">
        <v>0.45</v>
      </c>
      <c r="H80" s="76">
        <v>0.31</v>
      </c>
      <c r="I80" s="9">
        <v>55</v>
      </c>
      <c r="J80" s="9">
        <v>80</v>
      </c>
      <c r="K80" s="78">
        <v>67</v>
      </c>
      <c r="L80" s="9">
        <f>AVERAGE(498,432,518,489,400,580,500,420,590,498)</f>
        <v>492.5</v>
      </c>
      <c r="M80" s="9" t="s">
        <v>1171</v>
      </c>
      <c r="N80" s="65">
        <f>AVERAGE(918,750,660,750,760,680,650,650,650,639)</f>
        <v>710.7</v>
      </c>
      <c r="O80" s="161" t="s">
        <v>1110</v>
      </c>
      <c r="P80" s="9">
        <f>695*CA.US</f>
        <v>528.20000000000005</v>
      </c>
      <c r="Q80" s="9" t="s">
        <v>999</v>
      </c>
      <c r="R80" s="66" t="s">
        <v>873</v>
      </c>
      <c r="S80" s="79">
        <v>620</v>
      </c>
      <c r="T80" s="9" t="s">
        <v>708</v>
      </c>
      <c r="U80" s="66" t="s">
        <v>28</v>
      </c>
    </row>
    <row r="81" spans="1:21" ht="12.6" customHeight="1">
      <c r="A81" s="73" t="s">
        <v>32</v>
      </c>
      <c r="B81" s="73" t="s">
        <v>290</v>
      </c>
      <c r="C81" s="9">
        <v>85</v>
      </c>
      <c r="D81" s="10">
        <v>1.4</v>
      </c>
      <c r="E81" s="9">
        <f>1.6*C81</f>
        <v>136</v>
      </c>
      <c r="F81" s="64" t="s">
        <v>287</v>
      </c>
      <c r="G81" s="75">
        <v>0.83</v>
      </c>
      <c r="H81" s="76">
        <v>0.8</v>
      </c>
      <c r="I81" s="9">
        <v>80</v>
      </c>
      <c r="J81" s="9">
        <v>90</v>
      </c>
      <c r="K81" s="9">
        <v>82</v>
      </c>
      <c r="L81" s="65">
        <f>AVERAGE(1105)</f>
        <v>1105</v>
      </c>
      <c r="M81" s="50" t="s">
        <v>1153</v>
      </c>
      <c r="N81" s="65">
        <f>AVERAGE(1350,1400,1450,1400,1300,1369,1480,1399,1580,1415,1191,1500)</f>
        <v>1402.8333333333333</v>
      </c>
      <c r="O81" s="50" t="s">
        <v>919</v>
      </c>
      <c r="P81" s="9">
        <v>1080</v>
      </c>
      <c r="Q81" s="9" t="s">
        <v>708</v>
      </c>
      <c r="R81" s="66" t="s">
        <v>28</v>
      </c>
      <c r="S81" s="79">
        <v>1395</v>
      </c>
      <c r="T81" s="9" t="s">
        <v>925</v>
      </c>
      <c r="U81" s="66" t="s">
        <v>27</v>
      </c>
    </row>
    <row r="82" spans="1:21" ht="12.6" customHeight="1">
      <c r="A82" s="73" t="s">
        <v>32</v>
      </c>
      <c r="B82" s="73" t="s">
        <v>291</v>
      </c>
      <c r="C82" s="9">
        <v>100</v>
      </c>
      <c r="D82" s="10">
        <v>2.8</v>
      </c>
      <c r="E82" s="9">
        <f>1.6*C82</f>
        <v>160</v>
      </c>
      <c r="F82" s="64" t="s">
        <v>287</v>
      </c>
      <c r="G82" s="75">
        <v>0.32</v>
      </c>
      <c r="H82" s="76">
        <v>0.96</v>
      </c>
      <c r="I82" s="9">
        <v>130</v>
      </c>
      <c r="J82" s="9">
        <v>86</v>
      </c>
      <c r="K82" s="9">
        <v>72</v>
      </c>
      <c r="L82" s="65">
        <f>AVERAGE(350,527,510,519,630,625,605)</f>
        <v>538</v>
      </c>
      <c r="M82" s="50" t="s">
        <v>817</v>
      </c>
      <c r="N82" s="65">
        <f>AVERAGE(699,680,690,778,748,800,635,670)</f>
        <v>712.5</v>
      </c>
      <c r="O82" s="50" t="s">
        <v>817</v>
      </c>
      <c r="P82" s="9">
        <v>500</v>
      </c>
      <c r="Q82" s="9" t="s">
        <v>708</v>
      </c>
      <c r="R82" s="66" t="s">
        <v>28</v>
      </c>
      <c r="S82" s="79">
        <v>800</v>
      </c>
      <c r="T82" s="9" t="s">
        <v>521</v>
      </c>
      <c r="U82" s="66" t="s">
        <v>30</v>
      </c>
    </row>
    <row r="83" spans="1:21" ht="12.6" customHeight="1">
      <c r="A83" s="67" t="s">
        <v>32</v>
      </c>
      <c r="B83" s="67" t="s">
        <v>293</v>
      </c>
      <c r="C83" s="36">
        <v>400</v>
      </c>
      <c r="D83" s="71">
        <v>4</v>
      </c>
      <c r="E83" s="36">
        <f>1.6*C83</f>
        <v>640</v>
      </c>
      <c r="F83" s="69" t="s">
        <v>287</v>
      </c>
      <c r="G83" s="59">
        <v>2.9</v>
      </c>
      <c r="H83" s="40">
        <v>3.58</v>
      </c>
      <c r="I83" s="36">
        <v>290</v>
      </c>
      <c r="J83" s="36">
        <v>120</v>
      </c>
      <c r="K83" s="36" t="s">
        <v>294</v>
      </c>
      <c r="L83" s="61">
        <f>AVERAGE(2450,2850,2899,2800)</f>
        <v>2749.75</v>
      </c>
      <c r="M83" s="52" t="s">
        <v>681</v>
      </c>
      <c r="N83" s="61">
        <f>AVERAGE(3500,3395,4639,3200)</f>
        <v>3683.5</v>
      </c>
      <c r="O83" s="52" t="s">
        <v>503</v>
      </c>
      <c r="P83" s="36" t="s">
        <v>14</v>
      </c>
      <c r="Q83" s="36" t="s">
        <v>14</v>
      </c>
      <c r="R83" s="52" t="s">
        <v>14</v>
      </c>
      <c r="S83" s="61" t="s">
        <v>14</v>
      </c>
      <c r="T83" s="36" t="s">
        <v>14</v>
      </c>
      <c r="U83" s="52" t="s">
        <v>14</v>
      </c>
    </row>
    <row r="84" spans="1:21" ht="12.6" customHeight="1">
      <c r="A84" s="73" t="s">
        <v>32</v>
      </c>
      <c r="B84" s="73" t="s">
        <v>292</v>
      </c>
      <c r="C84" s="9" t="s">
        <v>44</v>
      </c>
      <c r="D84" s="10">
        <v>2.8</v>
      </c>
      <c r="E84" s="9" t="s">
        <v>45</v>
      </c>
      <c r="F84" s="64" t="s">
        <v>287</v>
      </c>
      <c r="G84" s="75">
        <v>0.5</v>
      </c>
      <c r="H84" s="76">
        <v>0.9</v>
      </c>
      <c r="I84" s="9">
        <v>96</v>
      </c>
      <c r="J84" s="9">
        <v>102</v>
      </c>
      <c r="K84" s="78">
        <v>95</v>
      </c>
      <c r="L84" s="65">
        <f>AVERAGE(958,975,1000,1098,1190)</f>
        <v>1044.2</v>
      </c>
      <c r="M84" s="161" t="s">
        <v>1171</v>
      </c>
      <c r="N84" s="65">
        <f>AVERAGE(1350,1425,1498,1390,1358,1434,1550,1469,1420)</f>
        <v>1432.6666666666667</v>
      </c>
      <c r="O84" s="161" t="s">
        <v>1118</v>
      </c>
      <c r="P84" s="9">
        <v>1295</v>
      </c>
      <c r="Q84" s="9" t="s">
        <v>708</v>
      </c>
      <c r="R84" s="66" t="s">
        <v>28</v>
      </c>
      <c r="S84" s="79" t="s">
        <v>14</v>
      </c>
      <c r="T84" s="9" t="s">
        <v>14</v>
      </c>
      <c r="U84" s="66" t="s">
        <v>14</v>
      </c>
    </row>
    <row r="85" spans="1:21" ht="12.6" customHeight="1">
      <c r="A85" s="73" t="s">
        <v>32</v>
      </c>
      <c r="B85" s="73" t="s">
        <v>480</v>
      </c>
      <c r="C85" s="9" t="s">
        <v>366</v>
      </c>
      <c r="D85" s="10" t="s">
        <v>70</v>
      </c>
      <c r="E85" s="9" t="s">
        <v>392</v>
      </c>
      <c r="F85" s="64" t="s">
        <v>287</v>
      </c>
      <c r="G85" s="75">
        <v>0.5</v>
      </c>
      <c r="H85" s="76">
        <v>0.56999999999999995</v>
      </c>
      <c r="I85" s="9">
        <v>71</v>
      </c>
      <c r="J85" s="9">
        <v>90</v>
      </c>
      <c r="K85" s="9">
        <v>82</v>
      </c>
      <c r="L85" s="65">
        <f>AVERAGE(299,225,240,225,240)</f>
        <v>245.8</v>
      </c>
      <c r="M85" s="50" t="s">
        <v>1153</v>
      </c>
      <c r="N85" s="65">
        <f>AVERAGE(291)</f>
        <v>291</v>
      </c>
      <c r="O85" s="161" t="s">
        <v>1171</v>
      </c>
      <c r="P85" s="9">
        <v>400</v>
      </c>
      <c r="Q85" s="9" t="s">
        <v>954</v>
      </c>
      <c r="R85" s="66" t="s">
        <v>830</v>
      </c>
      <c r="S85" s="79">
        <v>395</v>
      </c>
      <c r="T85" s="9" t="s">
        <v>951</v>
      </c>
      <c r="U85" s="66" t="s">
        <v>27</v>
      </c>
    </row>
    <row r="86" spans="1:21" ht="12.6" customHeight="1">
      <c r="A86" s="67" t="s">
        <v>32</v>
      </c>
      <c r="B86" s="67" t="s">
        <v>438</v>
      </c>
      <c r="C86" s="36" t="s">
        <v>80</v>
      </c>
      <c r="D86" s="71" t="s">
        <v>81</v>
      </c>
      <c r="E86" s="36" t="s">
        <v>439</v>
      </c>
      <c r="F86" s="69" t="s">
        <v>287</v>
      </c>
      <c r="G86" s="59">
        <v>1.5</v>
      </c>
      <c r="H86" s="40">
        <v>1.07</v>
      </c>
      <c r="I86" s="36">
        <v>129</v>
      </c>
      <c r="J86" s="36">
        <v>88</v>
      </c>
      <c r="K86" s="36">
        <v>72</v>
      </c>
      <c r="L86" s="61">
        <f>AVERAGE(331,269,269,265,316,290,350,365,325,349)</f>
        <v>312.89999999999998</v>
      </c>
      <c r="M86" s="52" t="s">
        <v>1171</v>
      </c>
      <c r="N86" s="61">
        <f>AVERAGE(324,389,395,359,368)</f>
        <v>367</v>
      </c>
      <c r="O86" s="52" t="s">
        <v>1176</v>
      </c>
      <c r="P86" s="36">
        <v>350</v>
      </c>
      <c r="Q86" s="36" t="s">
        <v>964</v>
      </c>
      <c r="R86" s="52" t="s">
        <v>30</v>
      </c>
      <c r="S86" s="61">
        <v>450</v>
      </c>
      <c r="T86" s="36" t="s">
        <v>964</v>
      </c>
      <c r="U86" s="52" t="s">
        <v>30</v>
      </c>
    </row>
    <row r="87" spans="1:21" s="26" customFormat="1" ht="12.6" customHeight="1">
      <c r="A87" s="137" t="s">
        <v>320</v>
      </c>
      <c r="B87" s="130"/>
      <c r="C87" s="43" t="s">
        <v>14</v>
      </c>
      <c r="D87" s="131" t="s">
        <v>14</v>
      </c>
      <c r="E87" s="43" t="s">
        <v>14</v>
      </c>
      <c r="F87" s="135" t="s">
        <v>14</v>
      </c>
      <c r="G87" s="138" t="s">
        <v>14</v>
      </c>
      <c r="H87" s="134" t="s">
        <v>14</v>
      </c>
      <c r="I87" s="43" t="s">
        <v>14</v>
      </c>
      <c r="J87" s="43" t="s">
        <v>14</v>
      </c>
      <c r="K87" s="43" t="s">
        <v>14</v>
      </c>
      <c r="L87" s="43" t="s">
        <v>14</v>
      </c>
      <c r="M87" s="43" t="s">
        <v>14</v>
      </c>
      <c r="N87" s="43" t="s">
        <v>14</v>
      </c>
      <c r="O87" s="43" t="s">
        <v>14</v>
      </c>
      <c r="P87" s="43" t="s">
        <v>14</v>
      </c>
      <c r="Q87" s="43" t="s">
        <v>14</v>
      </c>
      <c r="R87" s="43" t="s">
        <v>14</v>
      </c>
      <c r="S87" s="43" t="s">
        <v>14</v>
      </c>
      <c r="T87" s="43" t="s">
        <v>14</v>
      </c>
      <c r="U87" s="43" t="s">
        <v>14</v>
      </c>
    </row>
    <row r="88" spans="1:21" s="26" customFormat="1" ht="12" customHeight="1">
      <c r="A88" s="26" t="s">
        <v>135</v>
      </c>
      <c r="B88" s="26" t="s">
        <v>279</v>
      </c>
      <c r="C88" s="9">
        <v>20</v>
      </c>
      <c r="D88" s="47">
        <v>3.5</v>
      </c>
      <c r="E88" s="9">
        <f>1.6*C88</f>
        <v>32</v>
      </c>
      <c r="F88" s="149" t="s">
        <v>29</v>
      </c>
      <c r="G88" s="75">
        <v>0.2</v>
      </c>
      <c r="H88" s="76">
        <v>0.2</v>
      </c>
      <c r="I88" s="9">
        <v>28.8</v>
      </c>
      <c r="J88" s="9">
        <v>63</v>
      </c>
      <c r="K88" s="66">
        <v>52</v>
      </c>
      <c r="L88" s="9">
        <f>AVERAGE(375,355,270,359,299,325,309,330,318,339,296,317,315,293)</f>
        <v>321.42857142857144</v>
      </c>
      <c r="M88" s="66" t="s">
        <v>1153</v>
      </c>
      <c r="N88" s="65">
        <f>AVERAGE(400,445,440,459,419,395,478,430,410,430,425,420)</f>
        <v>429.25</v>
      </c>
      <c r="O88" s="10" t="s">
        <v>1171</v>
      </c>
      <c r="P88" s="65">
        <v>420</v>
      </c>
      <c r="Q88" s="10" t="s">
        <v>918</v>
      </c>
      <c r="R88" s="66" t="s">
        <v>28</v>
      </c>
      <c r="S88" s="79">
        <v>450</v>
      </c>
      <c r="T88" s="10" t="s">
        <v>1061</v>
      </c>
      <c r="U88" s="66" t="s">
        <v>30</v>
      </c>
    </row>
    <row r="89" spans="1:21" s="26" customFormat="1" ht="12" customHeight="1">
      <c r="A89" s="26" t="s">
        <v>135</v>
      </c>
      <c r="B89" s="26" t="s">
        <v>504</v>
      </c>
      <c r="C89" s="9">
        <v>28</v>
      </c>
      <c r="D89" s="47">
        <v>2.8</v>
      </c>
      <c r="E89" s="9">
        <f t="shared" ref="E89:E95" si="16">1.6*C89</f>
        <v>44.800000000000004</v>
      </c>
      <c r="F89" s="149" t="s">
        <v>29</v>
      </c>
      <c r="G89" s="75">
        <v>0.22</v>
      </c>
      <c r="H89" s="76">
        <v>0.23</v>
      </c>
      <c r="I89" s="9">
        <v>27</v>
      </c>
      <c r="J89" s="9">
        <v>63.6</v>
      </c>
      <c r="K89" s="66">
        <v>52</v>
      </c>
      <c r="L89" s="65">
        <f>AVERAGE(282,225,266,210)</f>
        <v>245.75</v>
      </c>
      <c r="M89" s="118" t="s">
        <v>919</v>
      </c>
      <c r="N89" s="65">
        <f>AVERAGE(499,425,461,360,319,349,350)</f>
        <v>394.71428571428572</v>
      </c>
      <c r="O89" s="10" t="s">
        <v>1005</v>
      </c>
      <c r="P89" s="65" t="s">
        <v>14</v>
      </c>
      <c r="Q89" s="10" t="s">
        <v>14</v>
      </c>
      <c r="R89" s="50" t="s">
        <v>14</v>
      </c>
      <c r="S89" s="201">
        <v>480</v>
      </c>
      <c r="T89" s="10" t="s">
        <v>817</v>
      </c>
      <c r="U89" s="50" t="s">
        <v>474</v>
      </c>
    </row>
    <row r="90" spans="1:21" s="26" customFormat="1" ht="12.6" customHeight="1">
      <c r="A90" s="26" t="s">
        <v>135</v>
      </c>
      <c r="B90" s="26" t="s">
        <v>281</v>
      </c>
      <c r="C90" s="9">
        <v>40</v>
      </c>
      <c r="D90" s="9">
        <v>2</v>
      </c>
      <c r="E90" s="9">
        <f>1.6*C90</f>
        <v>64</v>
      </c>
      <c r="F90" s="190" t="s">
        <v>29</v>
      </c>
      <c r="G90" s="75">
        <v>0.38</v>
      </c>
      <c r="H90" s="76">
        <v>0.2</v>
      </c>
      <c r="I90" s="9">
        <v>24.5</v>
      </c>
      <c r="J90" s="9">
        <v>63</v>
      </c>
      <c r="K90" s="66">
        <v>52</v>
      </c>
      <c r="L90" s="65">
        <f>AVERAGE(276,279,311,316,312,358,326,303,319,319,335)</f>
        <v>314</v>
      </c>
      <c r="M90" s="118" t="s">
        <v>1171</v>
      </c>
      <c r="N90" s="9">
        <f>AVERAGE(423,349,398,360,410,371,358,350,426,375,375,378,399,360)</f>
        <v>380.85714285714283</v>
      </c>
      <c r="O90" s="25" t="s">
        <v>1171</v>
      </c>
      <c r="P90" s="65">
        <v>260</v>
      </c>
      <c r="Q90" s="25" t="s">
        <v>423</v>
      </c>
      <c r="R90" s="66" t="s">
        <v>30</v>
      </c>
      <c r="S90" s="65">
        <v>380</v>
      </c>
      <c r="T90" s="25" t="s">
        <v>954</v>
      </c>
      <c r="U90" s="66" t="s">
        <v>28</v>
      </c>
    </row>
    <row r="91" spans="1:21" ht="12.6" customHeight="1">
      <c r="A91" s="57" t="s">
        <v>135</v>
      </c>
      <c r="B91" s="67" t="s">
        <v>283</v>
      </c>
      <c r="C91" s="36">
        <v>58</v>
      </c>
      <c r="D91" s="71">
        <v>1.4</v>
      </c>
      <c r="E91" s="36">
        <f t="shared" si="16"/>
        <v>92.800000000000011</v>
      </c>
      <c r="F91" s="60" t="s">
        <v>29</v>
      </c>
      <c r="G91" s="59">
        <v>0.45</v>
      </c>
      <c r="H91" s="40">
        <v>0.32</v>
      </c>
      <c r="I91" s="36">
        <v>47.5</v>
      </c>
      <c r="J91" s="36">
        <v>64.400000000000006</v>
      </c>
      <c r="K91" s="52">
        <v>58</v>
      </c>
      <c r="L91" s="36">
        <f>AVERAGE(349,340,391,403,315,350,365,328,375,281,355,378)</f>
        <v>352.5</v>
      </c>
      <c r="M91" s="168" t="s">
        <v>1171</v>
      </c>
      <c r="N91" s="36">
        <f>AVERAGE(423,415,479,380,439,455,435,425,395,414,425,425)</f>
        <v>425.83333333333331</v>
      </c>
      <c r="O91" s="71" t="s">
        <v>1171</v>
      </c>
      <c r="P91" s="61" t="s">
        <v>14</v>
      </c>
      <c r="Q91" s="36" t="s">
        <v>14</v>
      </c>
      <c r="R91" s="52" t="s">
        <v>14</v>
      </c>
      <c r="S91" s="61">
        <v>527</v>
      </c>
      <c r="T91" s="36" t="s">
        <v>1153</v>
      </c>
      <c r="U91" s="52" t="s">
        <v>30</v>
      </c>
    </row>
    <row r="92" spans="1:21" ht="12.6" customHeight="1">
      <c r="A92" s="73" t="s">
        <v>135</v>
      </c>
      <c r="B92" s="73" t="s">
        <v>284</v>
      </c>
      <c r="C92" s="9">
        <v>75</v>
      </c>
      <c r="D92" s="10">
        <v>2.5</v>
      </c>
      <c r="E92" s="9">
        <f t="shared" si="16"/>
        <v>120</v>
      </c>
      <c r="F92" s="64" t="s">
        <v>29</v>
      </c>
      <c r="G92" s="75">
        <v>0.7</v>
      </c>
      <c r="H92" s="76">
        <v>0.25</v>
      </c>
      <c r="I92" s="9">
        <v>40.200000000000003</v>
      </c>
      <c r="J92" s="9">
        <v>63.5</v>
      </c>
      <c r="K92" s="50">
        <v>49</v>
      </c>
      <c r="L92" s="9">
        <f>AVERAGE(385,379,409,423,399,327,340)</f>
        <v>380.28571428571428</v>
      </c>
      <c r="M92" s="9" t="s">
        <v>1171</v>
      </c>
      <c r="N92" s="65">
        <f>AVERAGE(400,449,440,400,429,469,477,450,450,450,448)</f>
        <v>442</v>
      </c>
      <c r="O92" s="9" t="s">
        <v>1171</v>
      </c>
      <c r="P92" s="65" t="s">
        <v>14</v>
      </c>
      <c r="Q92" s="9" t="s">
        <v>14</v>
      </c>
      <c r="R92" s="66" t="s">
        <v>14</v>
      </c>
      <c r="S92" s="79" t="s">
        <v>14</v>
      </c>
      <c r="T92" s="9" t="s">
        <v>14</v>
      </c>
      <c r="U92" s="66" t="s">
        <v>14</v>
      </c>
    </row>
    <row r="93" spans="1:21" s="26" customFormat="1" ht="12.6" customHeight="1">
      <c r="A93" s="73" t="s">
        <v>135</v>
      </c>
      <c r="B93" s="73" t="s">
        <v>285</v>
      </c>
      <c r="C93" s="9">
        <v>90</v>
      </c>
      <c r="D93" s="10">
        <v>3.5</v>
      </c>
      <c r="E93" s="9">
        <f>1.6*C93</f>
        <v>144</v>
      </c>
      <c r="F93" s="74" t="s">
        <v>29</v>
      </c>
      <c r="G93" s="75">
        <v>0.5</v>
      </c>
      <c r="H93" s="76">
        <v>0.39</v>
      </c>
      <c r="I93" s="9">
        <v>57.6</v>
      </c>
      <c r="J93" s="9">
        <v>63.5</v>
      </c>
      <c r="K93" s="50">
        <v>49</v>
      </c>
      <c r="L93" s="65">
        <f>AVERAGE(360,438,375,440,317,305,280,310)</f>
        <v>353.125</v>
      </c>
      <c r="M93" s="50" t="s">
        <v>1171</v>
      </c>
      <c r="N93" s="9">
        <f>AVERAGE(450,400,545,565,479,524,465,465,580,529,530,479,400)</f>
        <v>493.15384615384613</v>
      </c>
      <c r="O93" s="9" t="s">
        <v>1171</v>
      </c>
      <c r="P93" s="65">
        <f>500*CA.US</f>
        <v>380</v>
      </c>
      <c r="Q93" s="9" t="s">
        <v>999</v>
      </c>
      <c r="R93" s="118" t="s">
        <v>537</v>
      </c>
      <c r="S93" s="190" t="s">
        <v>14</v>
      </c>
      <c r="T93" s="9" t="s">
        <v>14</v>
      </c>
      <c r="U93" s="50" t="s">
        <v>14</v>
      </c>
    </row>
    <row r="94" spans="1:21" s="26" customFormat="1" ht="12.6" customHeight="1">
      <c r="A94" s="73" t="s">
        <v>135</v>
      </c>
      <c r="B94" s="73" t="s">
        <v>375</v>
      </c>
      <c r="C94" s="9">
        <v>125</v>
      </c>
      <c r="D94" s="10">
        <v>2.5</v>
      </c>
      <c r="E94" s="9">
        <f>1.6*C94</f>
        <v>200</v>
      </c>
      <c r="F94" s="74" t="s">
        <v>29</v>
      </c>
      <c r="G94" s="75">
        <v>0.38</v>
      </c>
      <c r="H94" s="76">
        <v>0.69</v>
      </c>
      <c r="I94" s="9">
        <v>88.2</v>
      </c>
      <c r="J94" s="9">
        <v>76</v>
      </c>
      <c r="K94" s="50">
        <v>58</v>
      </c>
      <c r="L94" s="65">
        <f>AVERAGE(1680,1620,1572,1848,1625,1778,1200,1229,1229,1174,1320,1125,1199,1249,1350)</f>
        <v>1413.2</v>
      </c>
      <c r="M94" s="50" t="s">
        <v>951</v>
      </c>
      <c r="N94" s="9">
        <f>AVERAGE(1990,1980,1998,1750,2038,1750,2099,2100,2280,1745,1999,2150,2390)</f>
        <v>2020.6923076923076</v>
      </c>
      <c r="O94" s="9" t="s">
        <v>1118</v>
      </c>
      <c r="P94" s="65">
        <f>2199*CA.US</f>
        <v>1671.24</v>
      </c>
      <c r="Q94" s="9" t="s">
        <v>1153</v>
      </c>
      <c r="R94" s="118" t="s">
        <v>537</v>
      </c>
      <c r="S94" s="65" t="s">
        <v>14</v>
      </c>
      <c r="T94" s="9" t="s">
        <v>14</v>
      </c>
      <c r="U94" s="118" t="s">
        <v>14</v>
      </c>
    </row>
    <row r="95" spans="1:21" ht="12.6" customHeight="1">
      <c r="A95" s="202" t="s">
        <v>135</v>
      </c>
      <c r="B95" s="202" t="s">
        <v>286</v>
      </c>
      <c r="C95" s="203">
        <v>180</v>
      </c>
      <c r="D95" s="204">
        <v>4</v>
      </c>
      <c r="E95" s="203">
        <f t="shared" si="16"/>
        <v>288</v>
      </c>
      <c r="F95" s="205" t="s">
        <v>29</v>
      </c>
      <c r="G95" s="206">
        <v>1.2</v>
      </c>
      <c r="H95" s="207">
        <v>0.48499999999999999</v>
      </c>
      <c r="I95" s="203">
        <v>79</v>
      </c>
      <c r="J95" s="203">
        <v>65.599999999999994</v>
      </c>
      <c r="K95" s="208">
        <v>49</v>
      </c>
      <c r="L95" s="203">
        <f>AVERAGE(1060,1186,1098,1098,1186,1199,1199,1148,1128,1250,1150)</f>
        <v>1154.7272727272727</v>
      </c>
      <c r="M95" s="209" t="s">
        <v>1118</v>
      </c>
      <c r="N95" s="203">
        <f>AVERAGE(1448,1788,1843,1785,1600,1300,1499,1628,1549,1537)</f>
        <v>1597.7</v>
      </c>
      <c r="O95" s="204" t="s">
        <v>1171</v>
      </c>
      <c r="P95" s="189">
        <f>1599*CA.US</f>
        <v>1215.24</v>
      </c>
      <c r="Q95" s="203" t="s">
        <v>999</v>
      </c>
      <c r="R95" s="208" t="s">
        <v>537</v>
      </c>
      <c r="S95" s="210" t="s">
        <v>14</v>
      </c>
      <c r="T95" s="203" t="s">
        <v>14</v>
      </c>
      <c r="U95" s="208" t="s">
        <v>14</v>
      </c>
    </row>
    <row r="96" spans="1:21" s="26" customFormat="1" ht="12.6" customHeight="1">
      <c r="A96" s="137" t="s">
        <v>321</v>
      </c>
      <c r="B96" s="130"/>
      <c r="C96" s="43"/>
      <c r="D96" s="131" t="s">
        <v>14</v>
      </c>
      <c r="E96" s="43" t="s">
        <v>14</v>
      </c>
      <c r="F96" s="135" t="s">
        <v>14</v>
      </c>
      <c r="G96" s="138" t="s">
        <v>14</v>
      </c>
      <c r="H96" s="134" t="s">
        <v>14</v>
      </c>
      <c r="I96" s="43" t="s">
        <v>14</v>
      </c>
      <c r="J96" s="43" t="s">
        <v>14</v>
      </c>
      <c r="K96" s="43" t="s">
        <v>14</v>
      </c>
      <c r="L96" s="43">
        <v>30</v>
      </c>
      <c r="M96" s="125" t="s">
        <v>14</v>
      </c>
      <c r="N96" s="43" t="s">
        <v>14</v>
      </c>
      <c r="O96" s="43" t="s">
        <v>14</v>
      </c>
      <c r="P96" s="43" t="s">
        <v>14</v>
      </c>
      <c r="Q96" s="43" t="s">
        <v>14</v>
      </c>
      <c r="R96" s="43" t="s">
        <v>14</v>
      </c>
      <c r="S96" s="43" t="s">
        <v>14</v>
      </c>
      <c r="T96" s="43" t="s">
        <v>14</v>
      </c>
      <c r="U96" s="43" t="s">
        <v>14</v>
      </c>
    </row>
    <row r="97" spans="1:21" s="26" customFormat="1" ht="12.6" customHeight="1">
      <c r="A97" s="73" t="s">
        <v>133</v>
      </c>
      <c r="B97" s="73" t="s">
        <v>268</v>
      </c>
      <c r="C97" s="9" t="s">
        <v>212</v>
      </c>
      <c r="D97" s="10">
        <v>2.8</v>
      </c>
      <c r="E97" s="9">
        <f>1.6*C97</f>
        <v>44.800000000000004</v>
      </c>
      <c r="F97" s="74" t="s">
        <v>29</v>
      </c>
      <c r="G97" s="75">
        <v>0.3</v>
      </c>
      <c r="H97" s="76">
        <v>0.56499999999999995</v>
      </c>
      <c r="I97" s="9">
        <v>86.5</v>
      </c>
      <c r="J97" s="9">
        <v>75</v>
      </c>
      <c r="K97" s="9">
        <v>67</v>
      </c>
      <c r="L97" s="65">
        <f>AVERAGE(645,850,999,710,850,866)</f>
        <v>820</v>
      </c>
      <c r="M97" s="78" t="s">
        <v>954</v>
      </c>
      <c r="N97" s="9">
        <f>AVERAGE(1100,904.955,1250,1425,1240,1090)</f>
        <v>1168.3258333333333</v>
      </c>
      <c r="O97" s="9" t="s">
        <v>999</v>
      </c>
      <c r="P97" s="65">
        <v>1300</v>
      </c>
      <c r="Q97" s="9" t="s">
        <v>681</v>
      </c>
      <c r="R97" s="118" t="s">
        <v>31</v>
      </c>
      <c r="S97" s="190" t="s">
        <v>673</v>
      </c>
      <c r="T97" s="9" t="s">
        <v>681</v>
      </c>
      <c r="U97" s="118" t="s">
        <v>26</v>
      </c>
    </row>
    <row r="98" spans="1:21" s="26" customFormat="1" ht="12.6" customHeight="1">
      <c r="A98" s="67" t="s">
        <v>133</v>
      </c>
      <c r="B98" s="58" t="s">
        <v>288</v>
      </c>
      <c r="C98" s="36">
        <v>35</v>
      </c>
      <c r="D98" s="71">
        <v>4</v>
      </c>
      <c r="E98" s="36">
        <f>1.6*C98</f>
        <v>56</v>
      </c>
      <c r="F98" s="69" t="s">
        <v>29</v>
      </c>
      <c r="G98" s="59">
        <v>0.28000000000000003</v>
      </c>
      <c r="H98" s="40">
        <v>0.31</v>
      </c>
      <c r="I98" s="36">
        <v>51</v>
      </c>
      <c r="J98" s="36">
        <v>70</v>
      </c>
      <c r="K98" s="71">
        <v>49</v>
      </c>
      <c r="L98" s="61">
        <f>AVERAGE(285,275,276,310,400,355,345,325)</f>
        <v>321.375</v>
      </c>
      <c r="M98" s="168" t="s">
        <v>954</v>
      </c>
      <c r="N98" s="36">
        <f>AVERAGE(495,551,504,655,500,600,488,506,528,500)</f>
        <v>532.70000000000005</v>
      </c>
      <c r="O98" s="68" t="s">
        <v>954</v>
      </c>
      <c r="P98" s="61">
        <v>345</v>
      </c>
      <c r="Q98" s="68" t="s">
        <v>1153</v>
      </c>
      <c r="R98" s="52" t="s">
        <v>26</v>
      </c>
      <c r="S98" s="61">
        <v>495</v>
      </c>
      <c r="T98" s="68" t="s">
        <v>925</v>
      </c>
      <c r="U98" s="52" t="s">
        <v>27</v>
      </c>
    </row>
    <row r="99" spans="1:21" s="26" customFormat="1" ht="12.6" customHeight="1">
      <c r="A99" s="73" t="s">
        <v>133</v>
      </c>
      <c r="B99" s="73" t="s">
        <v>589</v>
      </c>
      <c r="C99" s="9">
        <v>50</v>
      </c>
      <c r="D99" s="10">
        <v>2.8</v>
      </c>
      <c r="E99" s="9">
        <f>1.6*C99</f>
        <v>80</v>
      </c>
      <c r="F99" s="74" t="s">
        <v>522</v>
      </c>
      <c r="G99" s="75">
        <v>0.65</v>
      </c>
      <c r="H99" s="76">
        <v>1.4</v>
      </c>
      <c r="I99" s="9">
        <v>108</v>
      </c>
      <c r="J99" s="9">
        <v>129</v>
      </c>
      <c r="K99" s="50" t="s">
        <v>14</v>
      </c>
      <c r="L99" s="65">
        <f>AVERAGE(1655,1550)</f>
        <v>1602.5</v>
      </c>
      <c r="M99" s="20" t="s">
        <v>639</v>
      </c>
      <c r="N99" s="65">
        <f>AVERAGE(2516,2550,2136)</f>
        <v>2400.6666666666665</v>
      </c>
      <c r="O99" s="9" t="s">
        <v>619</v>
      </c>
      <c r="P99" s="65" t="s">
        <v>14</v>
      </c>
      <c r="Q99" s="9" t="s">
        <v>14</v>
      </c>
      <c r="R99" s="118" t="s">
        <v>14</v>
      </c>
      <c r="S99" s="191" t="s">
        <v>590</v>
      </c>
      <c r="T99" s="9" t="s">
        <v>592</v>
      </c>
      <c r="U99" s="118" t="s">
        <v>30</v>
      </c>
    </row>
    <row r="100" spans="1:21" ht="12.6" customHeight="1">
      <c r="A100" s="67" t="s">
        <v>133</v>
      </c>
      <c r="B100" s="67" t="s">
        <v>588</v>
      </c>
      <c r="C100" s="36">
        <v>90</v>
      </c>
      <c r="D100" s="71">
        <v>4.5</v>
      </c>
      <c r="E100" s="36">
        <f>1.6*C100</f>
        <v>144</v>
      </c>
      <c r="F100" s="60" t="s">
        <v>522</v>
      </c>
      <c r="G100" s="59">
        <v>0.56999999999999995</v>
      </c>
      <c r="H100" s="40">
        <v>1.1100000000000001</v>
      </c>
      <c r="I100" s="36">
        <v>138.80000000000001</v>
      </c>
      <c r="J100" s="36">
        <v>108</v>
      </c>
      <c r="K100" s="52" t="s">
        <v>14</v>
      </c>
      <c r="L100" s="61">
        <f>AVERAGE(1490)</f>
        <v>1490</v>
      </c>
      <c r="M100" s="36" t="s">
        <v>1091</v>
      </c>
      <c r="N100" s="61">
        <f>AVERAGE(2095)</f>
        <v>2095</v>
      </c>
      <c r="O100" s="71" t="s">
        <v>1059</v>
      </c>
      <c r="P100" s="61" t="s">
        <v>14</v>
      </c>
      <c r="Q100" s="36" t="s">
        <v>14</v>
      </c>
      <c r="R100" s="52" t="s">
        <v>14</v>
      </c>
      <c r="S100" s="61">
        <v>1995</v>
      </c>
      <c r="T100" s="36" t="s">
        <v>1005</v>
      </c>
      <c r="U100" s="52" t="s">
        <v>26</v>
      </c>
    </row>
    <row r="101" spans="1:21" s="26" customFormat="1" ht="12.6" customHeight="1">
      <c r="A101" s="137" t="s">
        <v>823</v>
      </c>
      <c r="B101" s="130"/>
      <c r="C101" s="43" t="s">
        <v>14</v>
      </c>
      <c r="D101" s="131" t="s">
        <v>14</v>
      </c>
      <c r="E101" s="43" t="s">
        <v>14</v>
      </c>
      <c r="F101" s="135" t="s">
        <v>14</v>
      </c>
      <c r="G101" s="138" t="s">
        <v>14</v>
      </c>
      <c r="H101" s="134" t="s">
        <v>14</v>
      </c>
      <c r="I101" s="43" t="s">
        <v>14</v>
      </c>
      <c r="J101" s="43" t="s">
        <v>14</v>
      </c>
      <c r="K101" s="43" t="s">
        <v>14</v>
      </c>
      <c r="L101" s="43" t="s">
        <v>14</v>
      </c>
      <c r="M101" s="43" t="s">
        <v>14</v>
      </c>
      <c r="N101" s="43" t="s">
        <v>14</v>
      </c>
      <c r="O101" s="43" t="s">
        <v>14</v>
      </c>
      <c r="P101" s="43" t="s">
        <v>14</v>
      </c>
      <c r="Q101" s="43" t="s">
        <v>14</v>
      </c>
      <c r="R101" s="43" t="s">
        <v>14</v>
      </c>
      <c r="S101" s="43" t="s">
        <v>14</v>
      </c>
      <c r="T101" s="43" t="s">
        <v>14</v>
      </c>
      <c r="U101" s="43" t="s">
        <v>14</v>
      </c>
    </row>
    <row r="102" spans="1:21" s="26" customFormat="1" ht="12.6" customHeight="1">
      <c r="A102" s="67" t="s">
        <v>824</v>
      </c>
      <c r="B102" s="67" t="s">
        <v>825</v>
      </c>
      <c r="C102" s="71">
        <v>180</v>
      </c>
      <c r="D102" s="71" t="s">
        <v>826</v>
      </c>
      <c r="E102" s="36">
        <f>C102*1.6</f>
        <v>288</v>
      </c>
      <c r="F102" s="72" t="s">
        <v>29</v>
      </c>
      <c r="G102" s="59">
        <v>1.8</v>
      </c>
      <c r="H102" s="40">
        <v>0.995</v>
      </c>
      <c r="I102" s="36" t="s">
        <v>14</v>
      </c>
      <c r="J102" s="36" t="s">
        <v>14</v>
      </c>
      <c r="K102" s="36">
        <v>82</v>
      </c>
      <c r="L102" s="61">
        <f>AVERAGE(2763)</f>
        <v>2763</v>
      </c>
      <c r="M102" s="168" t="s">
        <v>874</v>
      </c>
      <c r="N102" s="61">
        <f>AVERAGE(0)</f>
        <v>0</v>
      </c>
      <c r="O102" s="168" t="s">
        <v>14</v>
      </c>
      <c r="P102" s="36" t="s">
        <v>14</v>
      </c>
      <c r="Q102" s="68" t="s">
        <v>14</v>
      </c>
      <c r="R102" s="36" t="s">
        <v>14</v>
      </c>
      <c r="S102" s="61" t="s">
        <v>14</v>
      </c>
      <c r="T102" s="68" t="s">
        <v>14</v>
      </c>
      <c r="U102" s="52" t="s">
        <v>14</v>
      </c>
    </row>
    <row r="103" spans="1:21" s="26" customFormat="1" ht="12.6" customHeight="1">
      <c r="A103" s="67" t="s">
        <v>1000</v>
      </c>
      <c r="B103" s="67" t="s">
        <v>1001</v>
      </c>
      <c r="C103" s="71">
        <v>60</v>
      </c>
      <c r="D103" s="71" t="s">
        <v>121</v>
      </c>
      <c r="E103" s="36" t="s">
        <v>14</v>
      </c>
      <c r="F103" s="72" t="s">
        <v>29</v>
      </c>
      <c r="G103" s="59" t="s">
        <v>14</v>
      </c>
      <c r="H103" s="40" t="s">
        <v>14</v>
      </c>
      <c r="I103" s="36" t="s">
        <v>14</v>
      </c>
      <c r="J103" s="36" t="s">
        <v>14</v>
      </c>
      <c r="K103" s="36" t="s">
        <v>14</v>
      </c>
      <c r="L103" s="61">
        <f>AVERAGE(0)</f>
        <v>0</v>
      </c>
      <c r="M103" s="168" t="s">
        <v>14</v>
      </c>
      <c r="N103" s="61">
        <f>AVERAGE(0)</f>
        <v>0</v>
      </c>
      <c r="O103" s="168" t="s">
        <v>14</v>
      </c>
      <c r="P103" s="36" t="s">
        <v>14</v>
      </c>
      <c r="Q103" s="68" t="s">
        <v>14</v>
      </c>
      <c r="R103" s="36" t="s">
        <v>14</v>
      </c>
      <c r="S103" s="61">
        <v>4750</v>
      </c>
      <c r="T103" s="68" t="s">
        <v>1002</v>
      </c>
      <c r="U103" s="52" t="s">
        <v>26</v>
      </c>
    </row>
  </sheetData>
  <sheetProtection password="990B" sheet="1" objects="1" scenarios="1"/>
  <phoneticPr fontId="0" type="noConversion"/>
  <pageMargins left="0.31496062992125984" right="0" top="0.51181102362204722" bottom="0" header="0.59055118110236227" footer="0.51181102362204722"/>
  <pageSetup orientation="landscape" r:id="rId1"/>
  <headerFooter alignWithMargins="0">
    <oddHeader>&amp;R&amp;9(&amp;P of &amp;N)</oddHeader>
  </headerFooter>
  <rowBreaks count="2" manualBreakCount="2">
    <brk id="42" max="16383" man="1"/>
    <brk id="7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U164"/>
  <sheetViews>
    <sheetView zoomScaleNormal="100" workbookViewId="0"/>
  </sheetViews>
  <sheetFormatPr defaultColWidth="9.140625" defaultRowHeight="12.6" customHeight="1"/>
  <cols>
    <col min="1" max="1" width="8.42578125" style="63" customWidth="1"/>
    <col min="2" max="2" width="24.28515625" style="63" customWidth="1"/>
    <col min="3" max="3" width="6.28515625" style="20" customWidth="1"/>
    <col min="4" max="4" width="6.5703125" style="142" customWidth="1"/>
    <col min="5" max="5" width="6.28515625" style="20" customWidth="1"/>
    <col min="6" max="6" width="4.7109375" style="21" customWidth="1"/>
    <col min="7" max="7" width="4.7109375" style="34" customWidth="1"/>
    <col min="8" max="8" width="4.7109375" style="35" customWidth="1"/>
    <col min="9" max="11" width="4.7109375" style="20" customWidth="1"/>
    <col min="12" max="17" width="5.28515625" style="20" customWidth="1"/>
    <col min="18" max="18" width="6.140625" style="20" customWidth="1"/>
    <col min="19" max="20" width="5.28515625" style="20" customWidth="1"/>
    <col min="21" max="21" width="5.7109375" style="20" customWidth="1"/>
    <col min="22" max="16384" width="9.140625" style="14"/>
  </cols>
  <sheetData>
    <row r="1" spans="1:21" s="26" customFormat="1" ht="12.6" customHeight="1">
      <c r="A1" s="73" t="str">
        <f>i!A1</f>
        <v>Lens$db: Lens Price database</v>
      </c>
      <c r="B1" s="46"/>
      <c r="C1" s="9" t="s">
        <v>14</v>
      </c>
      <c r="D1" s="10" t="s">
        <v>14</v>
      </c>
      <c r="E1" s="9" t="s">
        <v>14</v>
      </c>
      <c r="F1" s="9" t="s">
        <v>14</v>
      </c>
      <c r="G1" s="47" t="s">
        <v>14</v>
      </c>
      <c r="H1" s="76" t="s">
        <v>14</v>
      </c>
      <c r="I1" s="9" t="s">
        <v>14</v>
      </c>
      <c r="J1" s="9" t="s">
        <v>14</v>
      </c>
      <c r="K1" s="10" t="s">
        <v>14</v>
      </c>
      <c r="L1" s="9" t="s">
        <v>14</v>
      </c>
      <c r="M1" s="25" t="s">
        <v>14</v>
      </c>
      <c r="N1" s="9" t="s">
        <v>14</v>
      </c>
      <c r="O1" s="25" t="s">
        <v>14</v>
      </c>
      <c r="P1" s="9" t="s">
        <v>14</v>
      </c>
      <c r="R1" s="106" t="str">
        <f>i!B3</f>
        <v>.2018-09-01</v>
      </c>
      <c r="S1" s="9"/>
      <c r="T1" s="25" t="s">
        <v>14</v>
      </c>
      <c r="U1" s="9" t="s">
        <v>14</v>
      </c>
    </row>
    <row r="2" spans="1:21" ht="12.6" customHeight="1">
      <c r="A2" s="26" t="str">
        <f>i!A3</f>
        <v>v.34</v>
      </c>
      <c r="F2" s="25"/>
      <c r="G2" s="47"/>
      <c r="H2" s="76"/>
      <c r="I2" s="9"/>
      <c r="J2" s="46"/>
      <c r="K2" s="9"/>
      <c r="L2" s="9"/>
      <c r="M2" s="10" t="s">
        <v>14</v>
      </c>
      <c r="N2" s="36"/>
      <c r="O2" s="10" t="s">
        <v>14</v>
      </c>
      <c r="P2" s="36"/>
      <c r="Q2" s="10"/>
      <c r="R2" s="36"/>
      <c r="S2" s="36"/>
      <c r="T2" s="10"/>
      <c r="U2" s="36"/>
    </row>
    <row r="3" spans="1:21" s="24" customFormat="1" ht="12.6" customHeight="1">
      <c r="A3" s="26" t="s">
        <v>14</v>
      </c>
      <c r="B3" s="24" t="s">
        <v>14</v>
      </c>
      <c r="C3" s="37" t="s">
        <v>14</v>
      </c>
      <c r="D3" s="119" t="s">
        <v>14</v>
      </c>
      <c r="E3" s="37" t="s">
        <v>14</v>
      </c>
      <c r="F3" s="143" t="s">
        <v>14</v>
      </c>
      <c r="G3" s="39" t="s">
        <v>14</v>
      </c>
      <c r="H3" s="39" t="s">
        <v>14</v>
      </c>
      <c r="I3" s="39" t="s">
        <v>14</v>
      </c>
      <c r="J3" s="36" t="s">
        <v>14</v>
      </c>
      <c r="K3" s="39" t="s">
        <v>14</v>
      </c>
      <c r="L3" s="144" t="s">
        <v>14</v>
      </c>
      <c r="M3" s="43" t="s">
        <v>14</v>
      </c>
      <c r="N3" s="43" t="s">
        <v>15</v>
      </c>
      <c r="O3" s="43" t="s">
        <v>14</v>
      </c>
      <c r="P3" s="145" t="s">
        <v>14</v>
      </c>
      <c r="Q3" s="125" t="s">
        <v>14</v>
      </c>
      <c r="R3" s="22" t="s">
        <v>16</v>
      </c>
      <c r="S3" s="36"/>
      <c r="T3" s="43" t="s">
        <v>14</v>
      </c>
      <c r="U3" s="52" t="s">
        <v>14</v>
      </c>
    </row>
    <row r="4" spans="1:21" s="26" customFormat="1" ht="12.6" customHeight="1">
      <c r="A4" s="24" t="s">
        <v>14</v>
      </c>
      <c r="B4" s="24"/>
      <c r="C4" s="9" t="s">
        <v>4</v>
      </c>
      <c r="D4" s="10" t="s">
        <v>9</v>
      </c>
      <c r="E4" s="25" t="s">
        <v>636</v>
      </c>
      <c r="F4" s="21" t="s">
        <v>11</v>
      </c>
      <c r="G4" s="48" t="s">
        <v>264</v>
      </c>
      <c r="H4" s="76" t="s">
        <v>5</v>
      </c>
      <c r="I4" s="9" t="s">
        <v>298</v>
      </c>
      <c r="J4" s="9" t="s">
        <v>299</v>
      </c>
      <c r="K4" s="50" t="s">
        <v>300</v>
      </c>
      <c r="L4" s="51" t="s">
        <v>450</v>
      </c>
      <c r="M4" s="52"/>
      <c r="N4" s="53" t="s">
        <v>17</v>
      </c>
      <c r="O4" s="36"/>
      <c r="P4" s="147"/>
      <c r="Q4" s="43" t="s">
        <v>451</v>
      </c>
      <c r="R4" s="62"/>
      <c r="S4" s="121"/>
      <c r="T4" s="50" t="s">
        <v>7</v>
      </c>
      <c r="U4" s="50"/>
    </row>
    <row r="5" spans="1:21" s="26" customFormat="1" ht="12.6" customHeight="1">
      <c r="A5" s="57" t="s">
        <v>14</v>
      </c>
      <c r="B5" s="57" t="s">
        <v>14</v>
      </c>
      <c r="C5" s="36" t="s">
        <v>18</v>
      </c>
      <c r="D5" s="71" t="s">
        <v>14</v>
      </c>
      <c r="E5" s="36" t="s">
        <v>18</v>
      </c>
      <c r="F5" s="148" t="s">
        <v>14</v>
      </c>
      <c r="G5" s="59" t="s">
        <v>34</v>
      </c>
      <c r="H5" s="40" t="s">
        <v>19</v>
      </c>
      <c r="I5" s="36" t="s">
        <v>18</v>
      </c>
      <c r="J5" s="36" t="s">
        <v>18</v>
      </c>
      <c r="K5" s="52" t="s">
        <v>18</v>
      </c>
      <c r="L5" s="61" t="s">
        <v>20</v>
      </c>
      <c r="M5" s="52" t="s">
        <v>21</v>
      </c>
      <c r="N5" s="36" t="s">
        <v>20</v>
      </c>
      <c r="O5" s="36" t="s">
        <v>21</v>
      </c>
      <c r="P5" s="61" t="s">
        <v>20</v>
      </c>
      <c r="Q5" s="36" t="s">
        <v>21</v>
      </c>
      <c r="R5" s="52" t="s">
        <v>22</v>
      </c>
      <c r="S5" s="55" t="s">
        <v>20</v>
      </c>
      <c r="T5" s="43" t="s">
        <v>21</v>
      </c>
      <c r="U5" s="62" t="s">
        <v>22</v>
      </c>
    </row>
    <row r="6" spans="1:21" s="26" customFormat="1" ht="12.6" customHeight="1">
      <c r="A6" s="137" t="s">
        <v>808</v>
      </c>
      <c r="B6" s="130"/>
      <c r="C6" s="43" t="s">
        <v>14</v>
      </c>
      <c r="D6" s="131" t="s">
        <v>14</v>
      </c>
      <c r="E6" s="43" t="s">
        <v>14</v>
      </c>
      <c r="F6" s="135" t="s">
        <v>14</v>
      </c>
      <c r="G6" s="138" t="s">
        <v>14</v>
      </c>
      <c r="H6" s="134" t="s">
        <v>14</v>
      </c>
      <c r="I6" s="43" t="s">
        <v>14</v>
      </c>
      <c r="J6" s="43" t="s">
        <v>14</v>
      </c>
      <c r="K6" s="43" t="s">
        <v>14</v>
      </c>
      <c r="L6" s="43" t="s">
        <v>14</v>
      </c>
      <c r="M6" s="43" t="s">
        <v>14</v>
      </c>
      <c r="N6" s="43" t="s">
        <v>14</v>
      </c>
      <c r="O6" s="43" t="s">
        <v>14</v>
      </c>
      <c r="P6" s="43" t="s">
        <v>14</v>
      </c>
      <c r="Q6" s="43" t="s">
        <v>14</v>
      </c>
      <c r="R6" s="43" t="s">
        <v>14</v>
      </c>
      <c r="S6" s="43" t="s">
        <v>14</v>
      </c>
      <c r="T6" s="43" t="s">
        <v>14</v>
      </c>
      <c r="U6" s="43" t="s">
        <v>14</v>
      </c>
    </row>
    <row r="7" spans="1:21" ht="12.6" customHeight="1">
      <c r="A7" s="73" t="s">
        <v>278</v>
      </c>
      <c r="B7" s="73" t="s">
        <v>717</v>
      </c>
      <c r="C7" s="9">
        <v>15</v>
      </c>
      <c r="D7" s="10">
        <v>2.8</v>
      </c>
      <c r="E7" s="9">
        <f t="shared" ref="E7:E39" si="0">C7*1.6</f>
        <v>24</v>
      </c>
      <c r="F7" s="64" t="s">
        <v>124</v>
      </c>
      <c r="G7" s="75">
        <v>0.18</v>
      </c>
      <c r="H7" s="76">
        <v>0.71</v>
      </c>
      <c r="I7" s="9">
        <v>85.3</v>
      </c>
      <c r="J7" s="9">
        <v>83.5</v>
      </c>
      <c r="K7" s="50" t="s">
        <v>123</v>
      </c>
      <c r="L7" s="9">
        <f>AVERAGE(4542)</f>
        <v>4542</v>
      </c>
      <c r="M7" s="50" t="s">
        <v>918</v>
      </c>
      <c r="N7" s="9">
        <f>AVERAGE(7150,6170,6715,6622)</f>
        <v>6664.25</v>
      </c>
      <c r="O7" s="9" t="s">
        <v>1153</v>
      </c>
      <c r="P7" s="65" t="s">
        <v>14</v>
      </c>
      <c r="Q7" s="9" t="s">
        <v>14</v>
      </c>
      <c r="R7" s="50" t="s">
        <v>14</v>
      </c>
      <c r="S7" s="65" t="s">
        <v>14</v>
      </c>
      <c r="T7" s="9" t="s">
        <v>14</v>
      </c>
      <c r="U7" s="50" t="s">
        <v>14</v>
      </c>
    </row>
    <row r="8" spans="1:21" ht="12.6" customHeight="1">
      <c r="A8" s="73" t="s">
        <v>278</v>
      </c>
      <c r="B8" s="73" t="s">
        <v>719</v>
      </c>
      <c r="C8" s="9">
        <v>15</v>
      </c>
      <c r="D8" s="10">
        <v>3.5</v>
      </c>
      <c r="E8" s="9">
        <f t="shared" si="0"/>
        <v>24</v>
      </c>
      <c r="F8" s="64" t="s">
        <v>124</v>
      </c>
      <c r="G8" s="75">
        <v>0.16</v>
      </c>
      <c r="H8" s="76">
        <v>0.91</v>
      </c>
      <c r="I8" s="9">
        <v>92.5</v>
      </c>
      <c r="J8" s="9" t="s">
        <v>14</v>
      </c>
      <c r="K8" s="50" t="s">
        <v>123</v>
      </c>
      <c r="L8" s="9">
        <f>AVERAGE(1441,1699,1625,1675,1686,2091,1848,2146)</f>
        <v>1776.375</v>
      </c>
      <c r="M8" s="50" t="s">
        <v>952</v>
      </c>
      <c r="N8" s="9">
        <f>AVERAGE(2225)</f>
        <v>2225</v>
      </c>
      <c r="O8" s="9" t="s">
        <v>814</v>
      </c>
      <c r="P8" s="65">
        <v>2395</v>
      </c>
      <c r="Q8" s="9" t="s">
        <v>925</v>
      </c>
      <c r="R8" s="50" t="s">
        <v>27</v>
      </c>
      <c r="S8" s="65" t="s">
        <v>14</v>
      </c>
      <c r="T8" s="9" t="s">
        <v>14</v>
      </c>
      <c r="U8" s="50" t="s">
        <v>14</v>
      </c>
    </row>
    <row r="9" spans="1:21" ht="12.6" customHeight="1">
      <c r="A9" s="73" t="s">
        <v>278</v>
      </c>
      <c r="B9" s="73" t="s">
        <v>341</v>
      </c>
      <c r="C9" s="9">
        <v>16</v>
      </c>
      <c r="D9" s="10">
        <v>2.8</v>
      </c>
      <c r="E9" s="9">
        <f t="shared" si="0"/>
        <v>25.6</v>
      </c>
      <c r="F9" s="64" t="s">
        <v>124</v>
      </c>
      <c r="G9" s="75">
        <v>0.3</v>
      </c>
      <c r="H9" s="76" t="s">
        <v>14</v>
      </c>
      <c r="I9" s="9" t="s">
        <v>14</v>
      </c>
      <c r="J9" s="9" t="s">
        <v>14</v>
      </c>
      <c r="K9" s="50" t="s">
        <v>14</v>
      </c>
      <c r="L9" s="65">
        <f>AVERAGE(619,581,597,661,599,645,641,514,621,780,661,595,400)</f>
        <v>608.76923076923072</v>
      </c>
      <c r="M9" s="50" t="s">
        <v>1171</v>
      </c>
      <c r="N9" s="9">
        <f>AVERAGE(865,695,985,999,990,965)</f>
        <v>916.5</v>
      </c>
      <c r="O9" s="9" t="s">
        <v>1061</v>
      </c>
      <c r="P9" s="65">
        <v>545</v>
      </c>
      <c r="Q9" s="9" t="s">
        <v>918</v>
      </c>
      <c r="R9" s="50" t="s">
        <v>26</v>
      </c>
      <c r="S9" s="65" t="s">
        <v>14</v>
      </c>
      <c r="T9" s="9" t="s">
        <v>14</v>
      </c>
      <c r="U9" s="50" t="s">
        <v>14</v>
      </c>
    </row>
    <row r="10" spans="1:21" ht="12.6" customHeight="1">
      <c r="A10" s="73" t="s">
        <v>278</v>
      </c>
      <c r="B10" s="73" t="s">
        <v>301</v>
      </c>
      <c r="C10" s="9">
        <v>19</v>
      </c>
      <c r="D10" s="10">
        <v>2.8</v>
      </c>
      <c r="E10" s="9">
        <f t="shared" si="0"/>
        <v>30.400000000000002</v>
      </c>
      <c r="F10" s="64" t="s">
        <v>124</v>
      </c>
      <c r="G10" s="75">
        <v>0.3</v>
      </c>
      <c r="H10" s="76">
        <v>0.59</v>
      </c>
      <c r="I10" s="9">
        <v>71</v>
      </c>
      <c r="J10" s="9">
        <v>61</v>
      </c>
      <c r="K10" s="50" t="s">
        <v>123</v>
      </c>
      <c r="L10" s="9">
        <f>AVERAGE(908,725,825,897,995,1051,1099,887,1171,912,999)</f>
        <v>951.72727272727275</v>
      </c>
      <c r="M10" s="50" t="s">
        <v>1061</v>
      </c>
      <c r="N10" s="9">
        <f>AVERAGE(1800,2200,1325,1499,1484,1450,1645,1575)</f>
        <v>1622.25</v>
      </c>
      <c r="O10" s="9" t="s">
        <v>1171</v>
      </c>
      <c r="P10" s="65">
        <v>1078</v>
      </c>
      <c r="Q10" s="9" t="s">
        <v>723</v>
      </c>
      <c r="R10" s="50" t="s">
        <v>718</v>
      </c>
      <c r="S10" s="65">
        <v>1295</v>
      </c>
      <c r="T10" s="9" t="s">
        <v>918</v>
      </c>
      <c r="U10" s="50" t="s">
        <v>26</v>
      </c>
    </row>
    <row r="11" spans="1:21" ht="12.6" customHeight="1">
      <c r="A11" s="67" t="s">
        <v>278</v>
      </c>
      <c r="B11" s="67" t="s">
        <v>125</v>
      </c>
      <c r="C11" s="36">
        <v>21</v>
      </c>
      <c r="D11" s="71">
        <v>4</v>
      </c>
      <c r="E11" s="36">
        <f t="shared" si="0"/>
        <v>33.6</v>
      </c>
      <c r="F11" s="69" t="s">
        <v>124</v>
      </c>
      <c r="G11" s="59" t="s">
        <v>14</v>
      </c>
      <c r="H11" s="40" t="s">
        <v>14</v>
      </c>
      <c r="I11" s="36" t="s">
        <v>14</v>
      </c>
      <c r="J11" s="36" t="s">
        <v>14</v>
      </c>
      <c r="K11" s="52">
        <v>72</v>
      </c>
      <c r="L11" s="36">
        <f>AVERAGE(495,500,550,702,626,650,701,535,675,551,780,671,731,679)</f>
        <v>631.85714285714289</v>
      </c>
      <c r="M11" s="36" t="s">
        <v>1061</v>
      </c>
      <c r="N11" s="61">
        <f>AVERAGE(795,729,799,1125,861,880,900,895,828,810,772)</f>
        <v>854</v>
      </c>
      <c r="O11" s="36" t="s">
        <v>1061</v>
      </c>
      <c r="P11" s="61">
        <v>625</v>
      </c>
      <c r="Q11" s="36" t="s">
        <v>925</v>
      </c>
      <c r="R11" s="52" t="s">
        <v>26</v>
      </c>
      <c r="S11" s="61">
        <v>959</v>
      </c>
      <c r="T11" s="36" t="s">
        <v>925</v>
      </c>
      <c r="U11" s="52" t="s">
        <v>28</v>
      </c>
    </row>
    <row r="12" spans="1:21" ht="12.6" customHeight="1">
      <c r="A12" s="73" t="s">
        <v>278</v>
      </c>
      <c r="B12" s="195" t="s">
        <v>166</v>
      </c>
      <c r="C12" s="9">
        <v>24</v>
      </c>
      <c r="D12" s="10">
        <v>2.8</v>
      </c>
      <c r="E12" s="9">
        <f t="shared" si="0"/>
        <v>38.400000000000006</v>
      </c>
      <c r="F12" s="64" t="s">
        <v>124</v>
      </c>
      <c r="G12" s="75">
        <v>0.3</v>
      </c>
      <c r="H12" s="76">
        <v>0.4</v>
      </c>
      <c r="I12" s="9" t="s">
        <v>14</v>
      </c>
      <c r="J12" s="9" t="s">
        <v>14</v>
      </c>
      <c r="K12" s="50">
        <v>60</v>
      </c>
      <c r="L12" s="77">
        <f>AVERAGE(453,575,538,510,458,318,390,450,450,395,445,465,475)</f>
        <v>455.53846153846155</v>
      </c>
      <c r="M12" s="78" t="s">
        <v>1176</v>
      </c>
      <c r="N12" s="9">
        <f>AVERAGE(900,795,687,899,521,607,669,545,707,567,550,638,645,621,589)</f>
        <v>662.66666666666663</v>
      </c>
      <c r="O12" s="9" t="s">
        <v>1171</v>
      </c>
      <c r="P12" s="65">
        <v>600</v>
      </c>
      <c r="Q12" s="9" t="s">
        <v>723</v>
      </c>
      <c r="R12" s="50" t="s">
        <v>28</v>
      </c>
      <c r="S12" s="65">
        <v>1090</v>
      </c>
      <c r="T12" s="9" t="s">
        <v>723</v>
      </c>
      <c r="U12" s="50" t="s">
        <v>718</v>
      </c>
    </row>
    <row r="13" spans="1:21" ht="12.6" customHeight="1">
      <c r="A13" s="73" t="s">
        <v>278</v>
      </c>
      <c r="B13" s="73" t="s">
        <v>799</v>
      </c>
      <c r="C13" s="9">
        <v>28</v>
      </c>
      <c r="D13" s="10">
        <v>2.8</v>
      </c>
      <c r="E13" s="9">
        <f t="shared" si="0"/>
        <v>44.800000000000004</v>
      </c>
      <c r="F13" s="64" t="s">
        <v>124</v>
      </c>
      <c r="G13" s="75">
        <v>0.3</v>
      </c>
      <c r="H13" s="76">
        <v>0.27500000000000002</v>
      </c>
      <c r="I13" s="9">
        <v>40</v>
      </c>
      <c r="J13" s="9">
        <v>63</v>
      </c>
      <c r="K13" s="50" t="s">
        <v>620</v>
      </c>
      <c r="L13" s="65">
        <f>AVERAGE(425,468,461,370,445,371,511,540,500,475,441)</f>
        <v>455.18181818181819</v>
      </c>
      <c r="M13" s="50" t="s">
        <v>1061</v>
      </c>
      <c r="N13" s="9">
        <f>AVERAGE(640,630,780,640,678,625,735,557,719,510,546,720)</f>
        <v>648.33333333333337</v>
      </c>
      <c r="O13" s="9" t="s">
        <v>1091</v>
      </c>
      <c r="P13" s="65">
        <v>700</v>
      </c>
      <c r="Q13" s="9" t="s">
        <v>925</v>
      </c>
      <c r="R13" s="50" t="s">
        <v>30</v>
      </c>
      <c r="S13" s="65">
        <v>595</v>
      </c>
      <c r="T13" s="9" t="s">
        <v>1005</v>
      </c>
      <c r="U13" s="50" t="s">
        <v>26</v>
      </c>
    </row>
    <row r="14" spans="1:21" ht="14.25" customHeight="1">
      <c r="A14" s="73" t="s">
        <v>278</v>
      </c>
      <c r="B14" s="73" t="s">
        <v>896</v>
      </c>
      <c r="C14" s="9">
        <v>28</v>
      </c>
      <c r="D14" s="10">
        <v>2.8</v>
      </c>
      <c r="E14" s="9">
        <f t="shared" si="0"/>
        <v>44.800000000000004</v>
      </c>
      <c r="F14" s="64" t="s">
        <v>124</v>
      </c>
      <c r="G14" s="75">
        <v>0.3</v>
      </c>
      <c r="H14" s="76">
        <v>0.435</v>
      </c>
      <c r="I14" s="9">
        <v>48</v>
      </c>
      <c r="J14" s="9">
        <v>67.5</v>
      </c>
      <c r="K14" s="50">
        <v>55</v>
      </c>
      <c r="L14" s="65">
        <f>AVERAGE(1550,1200,1428,1358,1500,1650,1603)</f>
        <v>1469.8571428571429</v>
      </c>
      <c r="M14" s="50" t="s">
        <v>964</v>
      </c>
      <c r="N14" s="9">
        <f>AVERAGE(1895,1850,1700,1925,1995,2299,2195,1864)</f>
        <v>1965.375</v>
      </c>
      <c r="O14" s="9" t="s">
        <v>1153</v>
      </c>
      <c r="P14" s="65">
        <v>1800</v>
      </c>
      <c r="Q14" s="9" t="s">
        <v>699</v>
      </c>
      <c r="R14" s="50" t="s">
        <v>696</v>
      </c>
      <c r="S14" s="65" t="s">
        <v>14</v>
      </c>
      <c r="T14" s="9" t="s">
        <v>14</v>
      </c>
      <c r="U14" s="50" t="s">
        <v>14</v>
      </c>
    </row>
    <row r="15" spans="1:21" ht="12.6" customHeight="1">
      <c r="A15" s="67" t="s">
        <v>278</v>
      </c>
      <c r="B15" s="67" t="s">
        <v>211</v>
      </c>
      <c r="C15" s="36">
        <v>28</v>
      </c>
      <c r="D15" s="71">
        <v>2.8</v>
      </c>
      <c r="E15" s="36">
        <f t="shared" si="0"/>
        <v>44.800000000000004</v>
      </c>
      <c r="F15" s="69" t="s">
        <v>124</v>
      </c>
      <c r="G15" s="59" t="s">
        <v>14</v>
      </c>
      <c r="H15" s="40" t="s">
        <v>14</v>
      </c>
      <c r="I15" s="36" t="s">
        <v>14</v>
      </c>
      <c r="J15" s="36" t="s">
        <v>14</v>
      </c>
      <c r="K15" s="52">
        <v>67</v>
      </c>
      <c r="L15" s="61">
        <f>AVERAGE(1136,892,945,898,1025,1199,1168,1230,1100,1200,1056,1170)</f>
        <v>1084.9166666666667</v>
      </c>
      <c r="M15" s="52" t="s">
        <v>1176</v>
      </c>
      <c r="N15" s="36">
        <f>AVERAGE(2256,1925,1399,1450,2089,2295,1375)</f>
        <v>1827</v>
      </c>
      <c r="O15" s="36" t="s">
        <v>1061</v>
      </c>
      <c r="P15" s="61">
        <v>1299</v>
      </c>
      <c r="Q15" s="36" t="s">
        <v>925</v>
      </c>
      <c r="R15" s="52" t="s">
        <v>28</v>
      </c>
      <c r="S15" s="61">
        <v>1625</v>
      </c>
      <c r="T15" s="36" t="s">
        <v>639</v>
      </c>
      <c r="U15" s="52" t="s">
        <v>26</v>
      </c>
    </row>
    <row r="16" spans="1:21" ht="12.6" customHeight="1">
      <c r="A16" s="73" t="s">
        <v>278</v>
      </c>
      <c r="B16" s="196" t="s">
        <v>142</v>
      </c>
      <c r="C16" s="9">
        <v>35</v>
      </c>
      <c r="D16" s="10">
        <v>1.4</v>
      </c>
      <c r="E16" s="9">
        <f t="shared" si="0"/>
        <v>56</v>
      </c>
      <c r="F16" s="64" t="s">
        <v>124</v>
      </c>
      <c r="G16" s="75">
        <v>0.5</v>
      </c>
      <c r="H16" s="76">
        <v>0.68500000000000005</v>
      </c>
      <c r="I16" s="9">
        <v>76</v>
      </c>
      <c r="J16" s="9">
        <v>75</v>
      </c>
      <c r="K16" s="50">
        <v>67</v>
      </c>
      <c r="L16" s="65">
        <f>AVERAGE(777,910,910,1008,999,1000,930)</f>
        <v>933.42857142857144</v>
      </c>
      <c r="M16" s="50" t="s">
        <v>423</v>
      </c>
      <c r="N16" s="9">
        <f>AVERAGE(3350,3148,3100,3050,2790,2698,2550,2850,2406)</f>
        <v>2882.4444444444443</v>
      </c>
      <c r="O16" s="9" t="s">
        <v>1005</v>
      </c>
      <c r="P16" s="65">
        <v>1400</v>
      </c>
      <c r="Q16" s="9" t="s">
        <v>345</v>
      </c>
      <c r="R16" s="50" t="s">
        <v>30</v>
      </c>
      <c r="S16" s="65">
        <v>2895</v>
      </c>
      <c r="T16" s="9" t="s">
        <v>944</v>
      </c>
      <c r="U16" s="50" t="s">
        <v>26</v>
      </c>
    </row>
    <row r="17" spans="1:21" ht="12.6" customHeight="1">
      <c r="A17" s="73" t="s">
        <v>278</v>
      </c>
      <c r="B17" s="196" t="s">
        <v>342</v>
      </c>
      <c r="C17" s="9">
        <v>35</v>
      </c>
      <c r="D17" s="10">
        <v>2</v>
      </c>
      <c r="E17" s="9">
        <f t="shared" si="0"/>
        <v>56</v>
      </c>
      <c r="F17" s="64" t="s">
        <v>124</v>
      </c>
      <c r="G17" s="75">
        <v>0.3</v>
      </c>
      <c r="H17" s="76">
        <v>0.43</v>
      </c>
      <c r="I17" s="9">
        <v>54</v>
      </c>
      <c r="J17" s="9">
        <v>66</v>
      </c>
      <c r="K17" s="50">
        <v>55</v>
      </c>
      <c r="L17" s="65">
        <f>AVERAGE(710,712,605,797,765,738,614,761,700,676,797,738,895)</f>
        <v>731.38461538461536</v>
      </c>
      <c r="M17" s="50" t="s">
        <v>1005</v>
      </c>
      <c r="N17" s="9">
        <f>AVERAGE(803,960,1099,876,926)</f>
        <v>932.8</v>
      </c>
      <c r="O17" s="9" t="s">
        <v>1061</v>
      </c>
      <c r="P17" s="65">
        <v>895</v>
      </c>
      <c r="Q17" s="9" t="s">
        <v>925</v>
      </c>
      <c r="R17" s="50" t="s">
        <v>27</v>
      </c>
      <c r="S17" s="65" t="s">
        <v>14</v>
      </c>
      <c r="T17" s="9" t="s">
        <v>14</v>
      </c>
      <c r="U17" s="50" t="s">
        <v>14</v>
      </c>
    </row>
    <row r="18" spans="1:21" ht="12.6" customHeight="1">
      <c r="A18" s="73" t="s">
        <v>278</v>
      </c>
      <c r="B18" s="196" t="s">
        <v>800</v>
      </c>
      <c r="C18" s="9">
        <v>35</v>
      </c>
      <c r="D18" s="10">
        <v>2</v>
      </c>
      <c r="E18" s="9">
        <f t="shared" si="0"/>
        <v>56</v>
      </c>
      <c r="F18" s="64" t="s">
        <v>124</v>
      </c>
      <c r="G18" s="75">
        <v>0.3</v>
      </c>
      <c r="H18" s="76">
        <v>0.43</v>
      </c>
      <c r="I18" s="9">
        <v>54</v>
      </c>
      <c r="J18" s="9">
        <v>66</v>
      </c>
      <c r="K18" s="50">
        <v>55</v>
      </c>
      <c r="L18" s="65">
        <f>AVERAGE(1000,872,1000,820,874,995,865,895,907,995,1025,925,973)</f>
        <v>934.30769230769226</v>
      </c>
      <c r="M18" s="50" t="s">
        <v>954</v>
      </c>
      <c r="N18" s="9">
        <f>AVERAGE(1125,1400,1400,1500,1249,1200,975,1345,1088,1095,1365)</f>
        <v>1249.2727272727273</v>
      </c>
      <c r="O18" s="9" t="s">
        <v>1171</v>
      </c>
      <c r="P18" s="65">
        <f>1295*CA.US</f>
        <v>984.2</v>
      </c>
      <c r="Q18" s="9" t="s">
        <v>1061</v>
      </c>
      <c r="R18" s="50" t="s">
        <v>873</v>
      </c>
      <c r="S18" s="65">
        <f>1145*CA.US</f>
        <v>870.2</v>
      </c>
      <c r="T18" s="9" t="s">
        <v>954</v>
      </c>
      <c r="U18" s="50" t="s">
        <v>327</v>
      </c>
    </row>
    <row r="19" spans="1:21" ht="12.6" customHeight="1">
      <c r="A19" s="73" t="s">
        <v>278</v>
      </c>
      <c r="B19" s="196" t="s">
        <v>343</v>
      </c>
      <c r="C19" s="9">
        <v>35</v>
      </c>
      <c r="D19" s="10">
        <v>2.8</v>
      </c>
      <c r="E19" s="9">
        <f t="shared" si="0"/>
        <v>56</v>
      </c>
      <c r="F19" s="64" t="s">
        <v>124</v>
      </c>
      <c r="G19" s="75">
        <v>0.3</v>
      </c>
      <c r="H19" s="76">
        <v>0.41</v>
      </c>
      <c r="I19" s="9">
        <v>40</v>
      </c>
      <c r="J19" s="9">
        <v>63</v>
      </c>
      <c r="K19" s="50" t="s">
        <v>338</v>
      </c>
      <c r="L19" s="65">
        <f>AVERAGE(300,350,302,380,317,395,325,370,444,350,350,300,311,378)</f>
        <v>348</v>
      </c>
      <c r="M19" s="50" t="s">
        <v>1171</v>
      </c>
      <c r="N19" s="9">
        <f>AVERAGE(525,678,515,508,610,475,496,425,504,456,531)</f>
        <v>520.27272727272725</v>
      </c>
      <c r="O19" s="9" t="s">
        <v>918</v>
      </c>
      <c r="P19" s="65">
        <v>475</v>
      </c>
      <c r="Q19" s="9" t="s">
        <v>1153</v>
      </c>
      <c r="R19" s="50" t="s">
        <v>26</v>
      </c>
      <c r="S19" s="65" t="s">
        <v>14</v>
      </c>
      <c r="T19" s="9" t="s">
        <v>14</v>
      </c>
      <c r="U19" s="50" t="s">
        <v>14</v>
      </c>
    </row>
    <row r="20" spans="1:21" ht="12.6" customHeight="1">
      <c r="A20" s="67" t="s">
        <v>278</v>
      </c>
      <c r="B20" s="67" t="s">
        <v>339</v>
      </c>
      <c r="C20" s="36">
        <v>35</v>
      </c>
      <c r="D20" s="71">
        <v>2.8</v>
      </c>
      <c r="E20" s="36">
        <f t="shared" si="0"/>
        <v>56</v>
      </c>
      <c r="F20" s="69" t="s">
        <v>124</v>
      </c>
      <c r="G20" s="59">
        <v>0.3</v>
      </c>
      <c r="H20" s="40">
        <v>0.30499999999999999</v>
      </c>
      <c r="I20" s="36">
        <v>41.5</v>
      </c>
      <c r="J20" s="36">
        <v>66</v>
      </c>
      <c r="K20" s="52">
        <v>55</v>
      </c>
      <c r="L20" s="61">
        <f>AVERAGE(435,470,455,475,430,387,456)</f>
        <v>444</v>
      </c>
      <c r="M20" s="52" t="s">
        <v>1176</v>
      </c>
      <c r="N20" s="36">
        <f>AVERAGE(565,488,678,650,503,498,490,550,510,600,575)</f>
        <v>555.18181818181813</v>
      </c>
      <c r="O20" s="36" t="s">
        <v>1176</v>
      </c>
      <c r="P20" s="61">
        <v>595</v>
      </c>
      <c r="Q20" s="36" t="s">
        <v>925</v>
      </c>
      <c r="R20" s="52" t="s">
        <v>26</v>
      </c>
      <c r="S20" s="61">
        <v>625</v>
      </c>
      <c r="T20" s="36" t="s">
        <v>708</v>
      </c>
      <c r="U20" s="52" t="s">
        <v>26</v>
      </c>
    </row>
    <row r="21" spans="1:21" ht="12.6" customHeight="1">
      <c r="A21" s="73" t="s">
        <v>278</v>
      </c>
      <c r="B21" s="196" t="s">
        <v>383</v>
      </c>
      <c r="C21" s="9">
        <v>50</v>
      </c>
      <c r="D21" s="10">
        <v>1.4</v>
      </c>
      <c r="E21" s="9">
        <f t="shared" si="0"/>
        <v>80</v>
      </c>
      <c r="F21" s="64" t="s">
        <v>124</v>
      </c>
      <c r="G21" s="75">
        <v>0.5</v>
      </c>
      <c r="H21" s="76">
        <v>0.49</v>
      </c>
      <c r="I21" s="9">
        <v>51</v>
      </c>
      <c r="J21" s="9">
        <v>70</v>
      </c>
      <c r="K21" s="50">
        <v>60</v>
      </c>
      <c r="L21" s="9">
        <f>AVERAGE(944,939,835,856,999,790,898,830,878,950,920)</f>
        <v>894.4545454545455</v>
      </c>
      <c r="M21" s="9" t="s">
        <v>1171</v>
      </c>
      <c r="N21" s="65">
        <f>AVERAGE(1199,1195,1375,1110,1255,1148,1190,1158,1080,1300,1299,1035,1025)</f>
        <v>1182.2307692307693</v>
      </c>
      <c r="O21" s="9" t="s">
        <v>1176</v>
      </c>
      <c r="P21" s="65">
        <v>1000</v>
      </c>
      <c r="Q21" s="9" t="s">
        <v>925</v>
      </c>
      <c r="R21" s="50" t="s">
        <v>30</v>
      </c>
      <c r="S21" s="65" t="s">
        <v>1134</v>
      </c>
      <c r="T21" s="9" t="s">
        <v>1153</v>
      </c>
      <c r="U21" s="50" t="s">
        <v>26</v>
      </c>
    </row>
    <row r="22" spans="1:21" ht="12.6" customHeight="1">
      <c r="A22" s="73" t="s">
        <v>278</v>
      </c>
      <c r="B22" s="73" t="s">
        <v>356</v>
      </c>
      <c r="C22" s="9">
        <v>50</v>
      </c>
      <c r="D22" s="10">
        <v>2</v>
      </c>
      <c r="E22" s="9">
        <f t="shared" si="0"/>
        <v>80</v>
      </c>
      <c r="F22" s="64" t="s">
        <v>124</v>
      </c>
      <c r="G22" s="75">
        <v>0.5</v>
      </c>
      <c r="H22" s="76">
        <v>0.28999999999999998</v>
      </c>
      <c r="I22" s="9">
        <v>41</v>
      </c>
      <c r="J22" s="9">
        <v>66</v>
      </c>
      <c r="K22" s="50">
        <v>55</v>
      </c>
      <c r="L22" s="65">
        <f>AVERAGE(385,449,402,349,449,430,310,372,399,399,372)</f>
        <v>392.36363636363637</v>
      </c>
      <c r="M22" s="50" t="s">
        <v>1171</v>
      </c>
      <c r="N22" s="9">
        <f>AVERAGE(539,501,625,513,605,480,528,449,659,585,580,585)</f>
        <v>554.08333333333337</v>
      </c>
      <c r="O22" s="10" t="s">
        <v>1176</v>
      </c>
      <c r="P22" s="65">
        <v>300</v>
      </c>
      <c r="Q22" s="10" t="s">
        <v>1153</v>
      </c>
      <c r="R22" s="50" t="s">
        <v>30</v>
      </c>
      <c r="S22" s="65">
        <v>495</v>
      </c>
      <c r="T22" s="10" t="s">
        <v>1153</v>
      </c>
      <c r="U22" s="50" t="s">
        <v>26</v>
      </c>
    </row>
    <row r="23" spans="1:21" ht="12.6" customHeight="1">
      <c r="A23" s="67" t="s">
        <v>278</v>
      </c>
      <c r="B23" s="67" t="s">
        <v>350</v>
      </c>
      <c r="C23" s="36">
        <v>60</v>
      </c>
      <c r="D23" s="71">
        <v>2.8</v>
      </c>
      <c r="E23" s="36">
        <f t="shared" si="0"/>
        <v>96</v>
      </c>
      <c r="F23" s="69" t="s">
        <v>124</v>
      </c>
      <c r="G23" s="59">
        <v>0.27</v>
      </c>
      <c r="H23" s="40">
        <v>0.4</v>
      </c>
      <c r="I23" s="36">
        <v>62.3</v>
      </c>
      <c r="J23" s="36">
        <v>67.5</v>
      </c>
      <c r="K23" s="52">
        <v>55</v>
      </c>
      <c r="L23" s="36">
        <f>AVERAGE(432,449,499,394,420,425,425,400,465,439,415)</f>
        <v>433</v>
      </c>
      <c r="M23" s="36" t="s">
        <v>1176</v>
      </c>
      <c r="N23" s="61">
        <f>AVERAGE(615,860,790,665,693,554,585,650,680)</f>
        <v>676.88888888888891</v>
      </c>
      <c r="O23" s="36" t="s">
        <v>1171</v>
      </c>
      <c r="P23" s="61">
        <v>475</v>
      </c>
      <c r="Q23" s="36" t="s">
        <v>918</v>
      </c>
      <c r="R23" s="52" t="s">
        <v>26</v>
      </c>
      <c r="S23" s="61">
        <v>595</v>
      </c>
      <c r="T23" s="36" t="s">
        <v>925</v>
      </c>
      <c r="U23" s="52" t="s">
        <v>26</v>
      </c>
    </row>
    <row r="24" spans="1:21" ht="12.6" customHeight="1">
      <c r="A24" s="73" t="s">
        <v>278</v>
      </c>
      <c r="B24" s="196" t="s">
        <v>801</v>
      </c>
      <c r="C24" s="9">
        <v>80</v>
      </c>
      <c r="D24" s="10">
        <v>1.4</v>
      </c>
      <c r="E24" s="9">
        <f t="shared" si="0"/>
        <v>128</v>
      </c>
      <c r="F24" s="64" t="s">
        <v>124</v>
      </c>
      <c r="G24" s="75">
        <v>0.8</v>
      </c>
      <c r="H24" s="76">
        <v>0.7</v>
      </c>
      <c r="I24" s="9">
        <v>69</v>
      </c>
      <c r="J24" s="9">
        <v>75</v>
      </c>
      <c r="K24" s="50">
        <v>67</v>
      </c>
      <c r="L24" s="9">
        <f>AVERAGE(1940,1730,1356,1799,1525,1625,1728,1691,1395,1629,1734,1850)</f>
        <v>1666.8333333333333</v>
      </c>
      <c r="M24" s="9" t="s">
        <v>1059</v>
      </c>
      <c r="N24" s="77">
        <f>AVERAGE(2150,2429,2351,2236,2250,1998,1995,2030,2195,1890,1825,2100,2250,2195)</f>
        <v>2135.2857142857142</v>
      </c>
      <c r="O24" s="78" t="s">
        <v>1153</v>
      </c>
      <c r="P24" s="65">
        <v>2572</v>
      </c>
      <c r="Q24" s="9" t="s">
        <v>681</v>
      </c>
      <c r="R24" s="50" t="s">
        <v>28</v>
      </c>
      <c r="S24" s="65">
        <v>1845</v>
      </c>
      <c r="T24" s="9" t="s">
        <v>628</v>
      </c>
      <c r="U24" s="50" t="s">
        <v>26</v>
      </c>
    </row>
    <row r="25" spans="1:21" ht="12.6" customHeight="1">
      <c r="A25" s="73" t="s">
        <v>278</v>
      </c>
      <c r="B25" s="196" t="s">
        <v>358</v>
      </c>
      <c r="C25" s="9">
        <v>90</v>
      </c>
      <c r="D25" s="10">
        <v>2</v>
      </c>
      <c r="E25" s="9">
        <f t="shared" si="0"/>
        <v>144</v>
      </c>
      <c r="F25" s="64" t="s">
        <v>124</v>
      </c>
      <c r="G25" s="75">
        <v>0.7</v>
      </c>
      <c r="H25" s="76">
        <v>0.52</v>
      </c>
      <c r="I25" s="9">
        <v>61</v>
      </c>
      <c r="J25" s="9">
        <v>69</v>
      </c>
      <c r="K25" s="50">
        <v>55</v>
      </c>
      <c r="L25" s="9">
        <f>AVERAGE(650,543,555,575,623,603,610,452,549,612,637,549)</f>
        <v>579.83333333333337</v>
      </c>
      <c r="M25" s="25" t="s">
        <v>1171</v>
      </c>
      <c r="N25" s="65">
        <f>AVERAGE(825,800,749,937,890,785,660,980,995,875,899,850)</f>
        <v>853.75</v>
      </c>
      <c r="O25" s="50" t="s">
        <v>1061</v>
      </c>
      <c r="P25" s="65">
        <v>700</v>
      </c>
      <c r="Q25" s="9" t="s">
        <v>951</v>
      </c>
      <c r="R25" s="50" t="s">
        <v>948</v>
      </c>
      <c r="S25" s="65">
        <f>985*CA.US</f>
        <v>748.6</v>
      </c>
      <c r="T25" s="9" t="s">
        <v>954</v>
      </c>
      <c r="U25" s="50" t="s">
        <v>327</v>
      </c>
    </row>
    <row r="26" spans="1:21" ht="12.6" customHeight="1">
      <c r="A26" s="73" t="s">
        <v>278</v>
      </c>
      <c r="B26" s="196" t="s">
        <v>426</v>
      </c>
      <c r="C26" s="9">
        <v>90</v>
      </c>
      <c r="D26" s="10">
        <v>2</v>
      </c>
      <c r="E26" s="9">
        <f t="shared" si="0"/>
        <v>144</v>
      </c>
      <c r="F26" s="64" t="s">
        <v>124</v>
      </c>
      <c r="G26" s="75">
        <v>0.7</v>
      </c>
      <c r="H26" s="76">
        <v>0.52</v>
      </c>
      <c r="I26" s="9">
        <v>59</v>
      </c>
      <c r="J26" s="9">
        <v>70</v>
      </c>
      <c r="K26" s="50">
        <v>60</v>
      </c>
      <c r="L26" s="9">
        <f>AVERAGE(1605)</f>
        <v>1605</v>
      </c>
      <c r="M26" s="9" t="s">
        <v>639</v>
      </c>
      <c r="N26" s="65">
        <f>AVERAGE(3717,2528,3950,3295,3410,3250,2997,3397,4500,5045,3145,3622,3005)</f>
        <v>3527.7692307692309</v>
      </c>
      <c r="O26" s="50" t="s">
        <v>1059</v>
      </c>
      <c r="P26" s="65">
        <v>4500</v>
      </c>
      <c r="Q26" s="9" t="s">
        <v>484</v>
      </c>
      <c r="R26" s="50" t="s">
        <v>344</v>
      </c>
      <c r="S26" s="65">
        <v>4620</v>
      </c>
      <c r="T26" s="9" t="s">
        <v>723</v>
      </c>
      <c r="U26" s="50" t="s">
        <v>718</v>
      </c>
    </row>
    <row r="27" spans="1:21" ht="12.6" customHeight="1">
      <c r="A27" s="73" t="s">
        <v>278</v>
      </c>
      <c r="B27" s="73" t="s">
        <v>355</v>
      </c>
      <c r="C27" s="9">
        <v>90</v>
      </c>
      <c r="D27" s="10">
        <v>2.8</v>
      </c>
      <c r="E27" s="9">
        <f t="shared" si="0"/>
        <v>144</v>
      </c>
      <c r="F27" s="64" t="s">
        <v>124</v>
      </c>
      <c r="G27" s="75">
        <v>0.7</v>
      </c>
      <c r="H27" s="76">
        <v>0.45</v>
      </c>
      <c r="I27" s="9">
        <v>57</v>
      </c>
      <c r="J27" s="9">
        <v>67</v>
      </c>
      <c r="K27" s="50">
        <v>55</v>
      </c>
      <c r="L27" s="65">
        <f>AVERAGE(400,360,380,398,400,381,362,360,345,427,343,355,400)</f>
        <v>377.76923076923077</v>
      </c>
      <c r="M27" s="50" t="s">
        <v>1171</v>
      </c>
      <c r="N27" s="9">
        <f>AVERAGE(400,549,628,595,504,550,561,502,545,500,745,527,613)</f>
        <v>555.30769230769226</v>
      </c>
      <c r="O27" s="10" t="s">
        <v>1171</v>
      </c>
      <c r="P27" s="65">
        <v>300</v>
      </c>
      <c r="Q27" s="10" t="s">
        <v>954</v>
      </c>
      <c r="R27" s="50" t="s">
        <v>830</v>
      </c>
      <c r="S27" s="65">
        <v>645</v>
      </c>
      <c r="T27" s="10" t="s">
        <v>1005</v>
      </c>
      <c r="U27" s="50" t="s">
        <v>26</v>
      </c>
    </row>
    <row r="28" spans="1:21" ht="12.6" customHeight="1">
      <c r="A28" s="73" t="s">
        <v>278</v>
      </c>
      <c r="B28" s="196" t="s">
        <v>678</v>
      </c>
      <c r="C28" s="9">
        <v>100</v>
      </c>
      <c r="D28" s="10">
        <v>2.8</v>
      </c>
      <c r="E28" s="9">
        <f t="shared" si="0"/>
        <v>160</v>
      </c>
      <c r="F28" s="64" t="s">
        <v>124</v>
      </c>
      <c r="G28" s="75">
        <v>0.45</v>
      </c>
      <c r="H28" s="76">
        <v>0.76</v>
      </c>
      <c r="I28" s="9">
        <v>104.5</v>
      </c>
      <c r="J28" s="9">
        <v>73</v>
      </c>
      <c r="K28" s="50">
        <v>60</v>
      </c>
      <c r="L28" s="9">
        <f>AVERAGE(1675,1150,1600,1400,1417,1076,1399,1149,1499,1437,1399,1599,1519,1550)</f>
        <v>1419.2142857142858</v>
      </c>
      <c r="M28" s="25" t="s">
        <v>1171</v>
      </c>
      <c r="N28" s="65">
        <f>AVERAGE(1675,1798,1899,1669,1920,1950,1749,1799,1620,1845,1748)</f>
        <v>1788.3636363636363</v>
      </c>
      <c r="O28" s="50" t="s">
        <v>1171</v>
      </c>
      <c r="P28" s="65">
        <v>1300</v>
      </c>
      <c r="Q28" s="9" t="s">
        <v>1153</v>
      </c>
      <c r="R28" s="50" t="s">
        <v>28</v>
      </c>
      <c r="S28" s="65">
        <f>2400*CA.US</f>
        <v>1824</v>
      </c>
      <c r="T28" s="9" t="s">
        <v>953</v>
      </c>
      <c r="U28" s="50" t="s">
        <v>873</v>
      </c>
    </row>
    <row r="29" spans="1:21" ht="12.6" customHeight="1">
      <c r="A29" s="73" t="s">
        <v>278</v>
      </c>
      <c r="B29" s="196" t="s">
        <v>679</v>
      </c>
      <c r="C29" s="9">
        <v>100</v>
      </c>
      <c r="D29" s="10">
        <v>4</v>
      </c>
      <c r="E29" s="9">
        <f t="shared" si="0"/>
        <v>160</v>
      </c>
      <c r="F29" s="64" t="s">
        <v>124</v>
      </c>
      <c r="G29" s="75" t="s">
        <v>14</v>
      </c>
      <c r="H29" s="76">
        <v>0.67</v>
      </c>
      <c r="I29" s="9">
        <v>120</v>
      </c>
      <c r="J29" s="9">
        <v>68</v>
      </c>
      <c r="K29" s="50">
        <v>55</v>
      </c>
      <c r="L29" s="9">
        <f>AVERAGE(326,295,388,304,269,300,380,261,365,333,316,378)</f>
        <v>326.25</v>
      </c>
      <c r="M29" s="25" t="s">
        <v>1061</v>
      </c>
      <c r="N29" s="65">
        <f>AVERAGE(575,469,513,430,485,473,475,469,579,599,441)</f>
        <v>500.72727272727275</v>
      </c>
      <c r="O29" s="50" t="s">
        <v>1061</v>
      </c>
      <c r="P29" s="65">
        <v>350</v>
      </c>
      <c r="Q29" s="9" t="s">
        <v>925</v>
      </c>
      <c r="R29" s="50" t="s">
        <v>27</v>
      </c>
      <c r="S29" s="65" t="s">
        <v>14</v>
      </c>
      <c r="T29" s="9" t="s">
        <v>14</v>
      </c>
      <c r="U29" s="50" t="s">
        <v>14</v>
      </c>
    </row>
    <row r="30" spans="1:21" ht="12.6" customHeight="1">
      <c r="A30" s="67" t="s">
        <v>278</v>
      </c>
      <c r="B30" s="67" t="s">
        <v>353</v>
      </c>
      <c r="C30" s="36">
        <v>135</v>
      </c>
      <c r="D30" s="71">
        <v>2.8</v>
      </c>
      <c r="E30" s="36">
        <f t="shared" si="0"/>
        <v>216</v>
      </c>
      <c r="F30" s="69" t="s">
        <v>124</v>
      </c>
      <c r="G30" s="59">
        <v>1.5</v>
      </c>
      <c r="H30" s="40">
        <v>0.73</v>
      </c>
      <c r="I30" s="36">
        <v>93</v>
      </c>
      <c r="J30" s="36">
        <v>67</v>
      </c>
      <c r="K30" s="52">
        <v>55</v>
      </c>
      <c r="L30" s="36">
        <f>AVERAGE(225,257,271,183,249,240,184,275,209,213,214,263,203,228)</f>
        <v>229.57142857142858</v>
      </c>
      <c r="M30" s="36" t="s">
        <v>1171</v>
      </c>
      <c r="N30" s="61">
        <f>AVERAGE(440,389,495,267,330,429,321,300,318)</f>
        <v>365.44444444444446</v>
      </c>
      <c r="O30" s="52" t="s">
        <v>1171</v>
      </c>
      <c r="P30" s="61">
        <v>300</v>
      </c>
      <c r="Q30" s="36" t="s">
        <v>954</v>
      </c>
      <c r="R30" s="52" t="s">
        <v>830</v>
      </c>
      <c r="S30" s="61">
        <v>420</v>
      </c>
      <c r="T30" s="36" t="s">
        <v>723</v>
      </c>
      <c r="U30" s="52" t="s">
        <v>26</v>
      </c>
    </row>
    <row r="31" spans="1:21" ht="12.6" customHeight="1">
      <c r="A31" s="73" t="s">
        <v>278</v>
      </c>
      <c r="B31" s="196" t="s">
        <v>346</v>
      </c>
      <c r="C31" s="9">
        <v>180</v>
      </c>
      <c r="D31" s="10">
        <v>2</v>
      </c>
      <c r="E31" s="9">
        <f t="shared" si="0"/>
        <v>288</v>
      </c>
      <c r="F31" s="64" t="s">
        <v>124</v>
      </c>
      <c r="G31" s="75">
        <v>1.5</v>
      </c>
      <c r="H31" s="76">
        <v>2.5</v>
      </c>
      <c r="I31" s="9">
        <v>175</v>
      </c>
      <c r="J31" s="9">
        <v>117</v>
      </c>
      <c r="K31" s="50">
        <v>100</v>
      </c>
      <c r="L31" s="77">
        <f>AVERAGE(3353,3655,3700,4000,3038)</f>
        <v>3549.2</v>
      </c>
      <c r="M31" s="78" t="s">
        <v>685</v>
      </c>
      <c r="N31" s="9">
        <f>AVERAGE(6850,6995,6250,6450,5450,5500)</f>
        <v>6249.166666666667</v>
      </c>
      <c r="O31" s="9" t="s">
        <v>892</v>
      </c>
      <c r="P31" s="65">
        <v>3200</v>
      </c>
      <c r="Q31" s="9" t="s">
        <v>360</v>
      </c>
      <c r="R31" s="50" t="s">
        <v>400</v>
      </c>
      <c r="S31" s="65">
        <v>4495</v>
      </c>
      <c r="T31" s="9" t="s">
        <v>420</v>
      </c>
      <c r="U31" s="50" t="s">
        <v>27</v>
      </c>
    </row>
    <row r="32" spans="1:21" ht="12.6" customHeight="1">
      <c r="A32" s="73" t="s">
        <v>278</v>
      </c>
      <c r="B32" s="196" t="s">
        <v>347</v>
      </c>
      <c r="C32" s="9">
        <v>180</v>
      </c>
      <c r="D32" s="10">
        <v>2.8</v>
      </c>
      <c r="E32" s="9">
        <f t="shared" si="0"/>
        <v>288</v>
      </c>
      <c r="F32" s="64" t="s">
        <v>124</v>
      </c>
      <c r="G32" s="75">
        <v>2</v>
      </c>
      <c r="H32" s="76">
        <v>0.97</v>
      </c>
      <c r="I32" s="9">
        <v>132</v>
      </c>
      <c r="J32" s="9">
        <v>76</v>
      </c>
      <c r="K32" s="50">
        <v>67</v>
      </c>
      <c r="L32" s="65">
        <f>AVERAGE(2800,2761,2646,2800)</f>
        <v>2751.75</v>
      </c>
      <c r="M32" s="50" t="s">
        <v>1171</v>
      </c>
      <c r="N32" s="9">
        <f>AVERAGE(5250)</f>
        <v>5250</v>
      </c>
      <c r="O32" s="9" t="s">
        <v>1171</v>
      </c>
      <c r="P32" s="65">
        <v>2100</v>
      </c>
      <c r="Q32" s="9" t="s">
        <v>432</v>
      </c>
      <c r="R32" s="50" t="s">
        <v>352</v>
      </c>
      <c r="S32" s="65">
        <v>3395</v>
      </c>
      <c r="T32" s="9" t="s">
        <v>423</v>
      </c>
      <c r="U32" s="50" t="s">
        <v>26</v>
      </c>
    </row>
    <row r="33" spans="1:21" ht="12.6" customHeight="1">
      <c r="A33" s="73" t="s">
        <v>278</v>
      </c>
      <c r="B33" s="196" t="s">
        <v>348</v>
      </c>
      <c r="C33" s="9">
        <v>180</v>
      </c>
      <c r="D33" s="10">
        <v>2.8</v>
      </c>
      <c r="E33" s="9">
        <f t="shared" si="0"/>
        <v>288</v>
      </c>
      <c r="F33" s="64" t="s">
        <v>124</v>
      </c>
      <c r="G33" s="75">
        <v>1.8</v>
      </c>
      <c r="H33" s="76">
        <v>0.81</v>
      </c>
      <c r="I33" s="9">
        <v>121</v>
      </c>
      <c r="J33" s="9">
        <v>75</v>
      </c>
      <c r="K33" s="50" t="s">
        <v>340</v>
      </c>
      <c r="L33" s="65">
        <f>AVERAGE(408,330,380,336,324,380,350,388,400,360)</f>
        <v>365.6</v>
      </c>
      <c r="M33" s="50" t="s">
        <v>1061</v>
      </c>
      <c r="N33" s="9">
        <f>AVERAGE(675,695,654,500,555,645,675,610)</f>
        <v>626.125</v>
      </c>
      <c r="O33" s="9" t="s">
        <v>1171</v>
      </c>
      <c r="P33" s="65">
        <v>400</v>
      </c>
      <c r="Q33" s="9" t="s">
        <v>1153</v>
      </c>
      <c r="R33" s="50" t="s">
        <v>30</v>
      </c>
      <c r="S33" s="65">
        <v>800</v>
      </c>
      <c r="T33" s="9" t="s">
        <v>1153</v>
      </c>
      <c r="U33" s="50" t="s">
        <v>30</v>
      </c>
    </row>
    <row r="34" spans="1:21" ht="12.6" customHeight="1">
      <c r="A34" s="73" t="s">
        <v>278</v>
      </c>
      <c r="B34" s="196" t="s">
        <v>359</v>
      </c>
      <c r="C34" s="9">
        <v>180</v>
      </c>
      <c r="D34" s="10">
        <v>3.4</v>
      </c>
      <c r="E34" s="9">
        <f t="shared" si="0"/>
        <v>288</v>
      </c>
      <c r="F34" s="64" t="s">
        <v>124</v>
      </c>
      <c r="G34" s="75">
        <v>2.5</v>
      </c>
      <c r="H34" s="76">
        <v>0.75</v>
      </c>
      <c r="I34" s="9">
        <v>133</v>
      </c>
      <c r="J34" s="9">
        <v>67</v>
      </c>
      <c r="K34" s="50">
        <v>60</v>
      </c>
      <c r="L34" s="65">
        <f>AVERAGE(760,630,775,717,699,893,811,760,816,693,795)</f>
        <v>759</v>
      </c>
      <c r="M34" s="50" t="s">
        <v>1171</v>
      </c>
      <c r="N34" s="9">
        <f>AVERAGE(1100,1029,1145,1225,1160,1118,998,1020,1042,960,995,1001)</f>
        <v>1066.0833333333333</v>
      </c>
      <c r="O34" s="9" t="s">
        <v>954</v>
      </c>
      <c r="P34" s="65">
        <v>700</v>
      </c>
      <c r="Q34" s="9" t="s">
        <v>951</v>
      </c>
      <c r="R34" s="50" t="s">
        <v>948</v>
      </c>
      <c r="S34" s="65">
        <v>1095</v>
      </c>
      <c r="T34" s="9" t="s">
        <v>925</v>
      </c>
      <c r="U34" s="50" t="s">
        <v>26</v>
      </c>
    </row>
    <row r="35" spans="1:21" ht="12.6" customHeight="1">
      <c r="A35" s="73" t="s">
        <v>278</v>
      </c>
      <c r="B35" s="196" t="s">
        <v>802</v>
      </c>
      <c r="C35" s="9">
        <v>180</v>
      </c>
      <c r="D35" s="10">
        <v>4</v>
      </c>
      <c r="E35" s="9">
        <f t="shared" si="0"/>
        <v>288</v>
      </c>
      <c r="F35" s="64" t="s">
        <v>124</v>
      </c>
      <c r="G35" s="75">
        <v>1.8</v>
      </c>
      <c r="H35" s="76">
        <v>0.55000000000000004</v>
      </c>
      <c r="I35" s="9">
        <v>100</v>
      </c>
      <c r="J35" s="9">
        <v>65.5</v>
      </c>
      <c r="K35" s="50">
        <v>55</v>
      </c>
      <c r="L35" s="65">
        <f>AVERAGE(161,245,295,179,269,270,319,346,225,281,270,325,340,258)</f>
        <v>270.21428571428572</v>
      </c>
      <c r="M35" s="50" t="s">
        <v>1171</v>
      </c>
      <c r="N35" s="9">
        <f>AVERAGE(398,358,323,650,500,509,449,476,385,420)</f>
        <v>446.8</v>
      </c>
      <c r="O35" s="9" t="s">
        <v>1171</v>
      </c>
      <c r="P35" s="65">
        <v>400</v>
      </c>
      <c r="Q35" s="9" t="s">
        <v>952</v>
      </c>
      <c r="R35" s="50" t="s">
        <v>30</v>
      </c>
      <c r="S35" s="65">
        <v>495</v>
      </c>
      <c r="T35" s="9" t="s">
        <v>484</v>
      </c>
      <c r="U35" s="50" t="s">
        <v>27</v>
      </c>
    </row>
    <row r="36" spans="1:21" ht="12" customHeight="1">
      <c r="A36" s="73" t="s">
        <v>278</v>
      </c>
      <c r="B36" s="196" t="s">
        <v>349</v>
      </c>
      <c r="C36" s="9">
        <v>250</v>
      </c>
      <c r="D36" s="10">
        <v>4</v>
      </c>
      <c r="E36" s="9">
        <f t="shared" si="0"/>
        <v>400</v>
      </c>
      <c r="F36" s="64" t="s">
        <v>124</v>
      </c>
      <c r="G36" s="75">
        <v>4</v>
      </c>
      <c r="H36" s="76">
        <v>0.49</v>
      </c>
      <c r="I36" s="9" t="s">
        <v>14</v>
      </c>
      <c r="J36" s="9">
        <v>77.5</v>
      </c>
      <c r="K36" s="50" t="s">
        <v>351</v>
      </c>
      <c r="L36" s="65">
        <f>AVERAGE(259,345,300,257,305,360,339,300,243,334,285)</f>
        <v>302.45454545454544</v>
      </c>
      <c r="M36" s="50" t="s">
        <v>1176</v>
      </c>
      <c r="N36" s="9">
        <f>AVERAGE(449,450,459,495,495,372,455,425,510,775,480)</f>
        <v>487.72727272727275</v>
      </c>
      <c r="O36" s="9" t="s">
        <v>1061</v>
      </c>
      <c r="P36" s="65">
        <v>400</v>
      </c>
      <c r="Q36" s="9" t="s">
        <v>954</v>
      </c>
      <c r="R36" s="50" t="s">
        <v>948</v>
      </c>
      <c r="S36" s="65">
        <v>450</v>
      </c>
      <c r="T36" s="9" t="s">
        <v>723</v>
      </c>
      <c r="U36" s="50" t="s">
        <v>718</v>
      </c>
    </row>
    <row r="37" spans="1:21" ht="12.6" customHeight="1">
      <c r="A37" s="73" t="s">
        <v>278</v>
      </c>
      <c r="B37" s="196" t="s">
        <v>803</v>
      </c>
      <c r="C37" s="9">
        <v>280</v>
      </c>
      <c r="D37" s="10">
        <v>2.8</v>
      </c>
      <c r="E37" s="9">
        <f t="shared" si="0"/>
        <v>448</v>
      </c>
      <c r="F37" s="64" t="s">
        <v>124</v>
      </c>
      <c r="G37" s="75">
        <v>2.5</v>
      </c>
      <c r="H37" s="76">
        <v>2.75</v>
      </c>
      <c r="I37" s="9">
        <v>261</v>
      </c>
      <c r="J37" s="9">
        <v>125</v>
      </c>
      <c r="K37" s="197" t="s">
        <v>891</v>
      </c>
      <c r="L37" s="65">
        <f>AVERAGE(2192,2000,2000,2199,2299,2311,2100,2200,2199,2250,1825,1876,2043)</f>
        <v>2114.9230769230771</v>
      </c>
      <c r="M37" s="50" t="s">
        <v>1059</v>
      </c>
      <c r="N37" s="9">
        <f>AVERAGE(2850,3198,3197,2500,3150,2606,3210,2908,3850,3250,3199)</f>
        <v>3083.4545454545455</v>
      </c>
      <c r="O37" s="9" t="s">
        <v>1059</v>
      </c>
      <c r="P37" s="65">
        <v>3050</v>
      </c>
      <c r="Q37" s="9" t="s">
        <v>577</v>
      </c>
      <c r="R37" s="50" t="s">
        <v>31</v>
      </c>
      <c r="S37" s="65">
        <v>6999</v>
      </c>
      <c r="T37" s="9" t="s">
        <v>1061</v>
      </c>
      <c r="U37" s="50" t="s">
        <v>28</v>
      </c>
    </row>
    <row r="38" spans="1:21" ht="12.6" customHeight="1">
      <c r="A38" s="73" t="s">
        <v>278</v>
      </c>
      <c r="B38" s="196" t="s">
        <v>376</v>
      </c>
      <c r="C38" s="9">
        <v>280</v>
      </c>
      <c r="D38" s="10">
        <v>4</v>
      </c>
      <c r="E38" s="9">
        <f t="shared" si="0"/>
        <v>448</v>
      </c>
      <c r="F38" s="64" t="s">
        <v>124</v>
      </c>
      <c r="G38" s="75">
        <v>1.7</v>
      </c>
      <c r="H38" s="76">
        <v>1.875</v>
      </c>
      <c r="I38" s="9">
        <v>208</v>
      </c>
      <c r="J38" s="9">
        <v>88</v>
      </c>
      <c r="K38" s="50">
        <v>77</v>
      </c>
      <c r="L38" s="65">
        <f t="shared" ref="L38:L39" si="1">AVERAGE(0)</f>
        <v>0</v>
      </c>
      <c r="M38" s="50" t="s">
        <v>14</v>
      </c>
      <c r="N38" s="9">
        <f>AVERAGE(5046,4500,4250,4300,5213,5850,4050,3750,5000,4432,5300,4900,3499)</f>
        <v>4622.3076923076924</v>
      </c>
      <c r="O38" s="9" t="s">
        <v>1005</v>
      </c>
      <c r="P38" s="65" t="s">
        <v>1156</v>
      </c>
      <c r="Q38" s="9" t="s">
        <v>1153</v>
      </c>
      <c r="R38" s="50" t="s">
        <v>31</v>
      </c>
      <c r="S38" s="65">
        <v>3995</v>
      </c>
      <c r="T38" s="9" t="s">
        <v>379</v>
      </c>
      <c r="U38" s="50" t="s">
        <v>27</v>
      </c>
    </row>
    <row r="39" spans="1:21" ht="12.6" customHeight="1">
      <c r="A39" s="67" t="s">
        <v>278</v>
      </c>
      <c r="B39" s="67" t="s">
        <v>888</v>
      </c>
      <c r="C39" s="36">
        <v>400</v>
      </c>
      <c r="D39" s="71">
        <v>2.8</v>
      </c>
      <c r="E39" s="36">
        <f t="shared" si="0"/>
        <v>640</v>
      </c>
      <c r="F39" s="69" t="s">
        <v>124</v>
      </c>
      <c r="G39" s="59">
        <v>5.8</v>
      </c>
      <c r="H39" s="40">
        <v>4.7</v>
      </c>
      <c r="I39" s="36">
        <v>365</v>
      </c>
      <c r="J39" s="36">
        <v>166</v>
      </c>
      <c r="K39" s="52" t="s">
        <v>889</v>
      </c>
      <c r="L39" s="61">
        <f t="shared" si="1"/>
        <v>0</v>
      </c>
      <c r="M39" s="52" t="s">
        <v>14</v>
      </c>
      <c r="N39" s="36">
        <f>AVERAGE(18250)</f>
        <v>18250</v>
      </c>
      <c r="O39" s="36" t="s">
        <v>1171</v>
      </c>
      <c r="P39" s="61" t="s">
        <v>1134</v>
      </c>
      <c r="Q39" s="36" t="s">
        <v>1153</v>
      </c>
      <c r="R39" s="52" t="s">
        <v>26</v>
      </c>
      <c r="S39" s="61">
        <v>10000</v>
      </c>
      <c r="T39" s="36" t="s">
        <v>1153</v>
      </c>
      <c r="U39" s="52" t="s">
        <v>30</v>
      </c>
    </row>
    <row r="40" spans="1:21" s="26" customFormat="1" ht="12.6" customHeight="1">
      <c r="A40" s="137" t="s">
        <v>324</v>
      </c>
      <c r="B40" s="130"/>
      <c r="C40" s="43"/>
      <c r="D40" s="131"/>
      <c r="E40" s="43"/>
      <c r="F40" s="135" t="s">
        <v>14</v>
      </c>
      <c r="G40" s="138" t="s">
        <v>14</v>
      </c>
      <c r="H40" s="134" t="s">
        <v>14</v>
      </c>
      <c r="I40" s="43" t="s">
        <v>14</v>
      </c>
      <c r="J40" s="43" t="s">
        <v>14</v>
      </c>
      <c r="K40" s="43" t="s">
        <v>14</v>
      </c>
      <c r="L40" s="43" t="s">
        <v>14</v>
      </c>
      <c r="M40" s="43" t="s">
        <v>14</v>
      </c>
      <c r="N40" s="43" t="s">
        <v>14</v>
      </c>
      <c r="O40" s="43" t="s">
        <v>14</v>
      </c>
      <c r="P40" s="43" t="s">
        <v>14</v>
      </c>
      <c r="Q40" s="43" t="s">
        <v>14</v>
      </c>
      <c r="R40" s="43" t="s">
        <v>14</v>
      </c>
      <c r="S40" s="43" t="s">
        <v>14</v>
      </c>
      <c r="T40" s="43" t="s">
        <v>14</v>
      </c>
      <c r="U40" s="43" t="s">
        <v>14</v>
      </c>
    </row>
    <row r="41" spans="1:21" ht="12.6" customHeight="1">
      <c r="A41" s="73" t="s">
        <v>25</v>
      </c>
      <c r="B41" s="114" t="s">
        <v>224</v>
      </c>
      <c r="C41" s="9">
        <v>6</v>
      </c>
      <c r="D41" s="10">
        <v>2.8</v>
      </c>
      <c r="E41" s="9">
        <f t="shared" ref="E41:E68" si="2">C41*1.6</f>
        <v>9.6000000000000014</v>
      </c>
      <c r="F41" s="64" t="s">
        <v>127</v>
      </c>
      <c r="G41" s="75">
        <v>0.25</v>
      </c>
      <c r="H41" s="76">
        <v>5.2</v>
      </c>
      <c r="I41" s="9">
        <v>160</v>
      </c>
      <c r="J41" s="9">
        <v>236</v>
      </c>
      <c r="K41" s="50" t="s">
        <v>123</v>
      </c>
      <c r="L41" s="77">
        <f>AVERAGE(49990)</f>
        <v>49990</v>
      </c>
      <c r="M41" s="78" t="s">
        <v>681</v>
      </c>
      <c r="N41" s="9">
        <f>AVERAGE(65000,62395)</f>
        <v>63697.5</v>
      </c>
      <c r="O41" s="9" t="s">
        <v>924</v>
      </c>
      <c r="P41" s="65" t="s">
        <v>14</v>
      </c>
      <c r="Q41" s="9" t="s">
        <v>14</v>
      </c>
      <c r="R41" s="50" t="s">
        <v>14</v>
      </c>
      <c r="S41" s="65" t="s">
        <v>14</v>
      </c>
      <c r="T41" s="9" t="s">
        <v>14</v>
      </c>
      <c r="U41" s="50" t="s">
        <v>14</v>
      </c>
    </row>
    <row r="42" spans="1:21" ht="12.6" customHeight="1">
      <c r="A42" s="73" t="s">
        <v>25</v>
      </c>
      <c r="B42" s="114" t="s">
        <v>227</v>
      </c>
      <c r="C42" s="9">
        <v>8</v>
      </c>
      <c r="D42" s="10">
        <v>2.8</v>
      </c>
      <c r="E42" s="9">
        <f t="shared" si="2"/>
        <v>12.8</v>
      </c>
      <c r="F42" s="64" t="s">
        <v>127</v>
      </c>
      <c r="G42" s="75">
        <v>0.3</v>
      </c>
      <c r="H42" s="76">
        <v>1.1000000000000001</v>
      </c>
      <c r="I42" s="9">
        <v>128</v>
      </c>
      <c r="J42" s="9">
        <v>123</v>
      </c>
      <c r="K42" s="50" t="s">
        <v>123</v>
      </c>
      <c r="L42" s="65">
        <f>AVERAGE(1249,1505,1136,1677,1680,1893,1275)</f>
        <v>1487.8571428571429</v>
      </c>
      <c r="M42" s="50" t="s">
        <v>892</v>
      </c>
      <c r="N42" s="9">
        <f>AVERAGE(2468,1700,1700,2844,2600,2650,2894)</f>
        <v>2408</v>
      </c>
      <c r="O42" s="9" t="s">
        <v>892</v>
      </c>
      <c r="P42" s="65">
        <v>1670</v>
      </c>
      <c r="Q42" s="9" t="s">
        <v>577</v>
      </c>
      <c r="R42" s="50" t="s">
        <v>28</v>
      </c>
      <c r="S42" s="65">
        <v>3495</v>
      </c>
      <c r="T42" s="9" t="s">
        <v>592</v>
      </c>
      <c r="U42" s="50" t="s">
        <v>27</v>
      </c>
    </row>
    <row r="43" spans="1:21" ht="12.6" customHeight="1">
      <c r="A43" s="67" t="s">
        <v>25</v>
      </c>
      <c r="B43" s="160" t="s">
        <v>490</v>
      </c>
      <c r="C43" s="36">
        <v>13</v>
      </c>
      <c r="D43" s="71">
        <v>5.6</v>
      </c>
      <c r="E43" s="36">
        <f t="shared" si="2"/>
        <v>20.8</v>
      </c>
      <c r="F43" s="69" t="s">
        <v>145</v>
      </c>
      <c r="G43" s="59">
        <v>0.3</v>
      </c>
      <c r="H43" s="40">
        <v>1.2</v>
      </c>
      <c r="I43" s="36">
        <v>88.5</v>
      </c>
      <c r="J43" s="36">
        <v>115</v>
      </c>
      <c r="K43" s="52" t="s">
        <v>132</v>
      </c>
      <c r="L43" s="61">
        <f>AVERAGE(15778,14675)</f>
        <v>15226.5</v>
      </c>
      <c r="M43" s="52" t="s">
        <v>614</v>
      </c>
      <c r="N43" s="36">
        <v>24995</v>
      </c>
      <c r="O43" s="52" t="s">
        <v>496</v>
      </c>
      <c r="P43" s="61" t="s">
        <v>14</v>
      </c>
      <c r="Q43" s="36" t="s">
        <v>14</v>
      </c>
      <c r="R43" s="52" t="s">
        <v>14</v>
      </c>
      <c r="S43" s="61" t="s">
        <v>14</v>
      </c>
      <c r="T43" s="36" t="s">
        <v>14</v>
      </c>
      <c r="U43" s="52" t="s">
        <v>14</v>
      </c>
    </row>
    <row r="44" spans="1:21" ht="12.6" customHeight="1">
      <c r="A44" s="73" t="s">
        <v>25</v>
      </c>
      <c r="B44" s="73" t="s">
        <v>126</v>
      </c>
      <c r="C44" s="9">
        <v>15</v>
      </c>
      <c r="D44" s="10">
        <v>3.5</v>
      </c>
      <c r="E44" s="9">
        <f t="shared" si="2"/>
        <v>24</v>
      </c>
      <c r="F44" s="64" t="s">
        <v>127</v>
      </c>
      <c r="G44" s="75">
        <v>0.3</v>
      </c>
      <c r="H44" s="76">
        <v>0.63</v>
      </c>
      <c r="I44" s="9">
        <v>83.5</v>
      </c>
      <c r="J44" s="9">
        <v>90</v>
      </c>
      <c r="K44" s="50">
        <v>94</v>
      </c>
      <c r="L44" s="65">
        <f>AVERAGE(751,689,550,749,435,630,730,610,685,550,706,691)</f>
        <v>648</v>
      </c>
      <c r="M44" s="50" t="s">
        <v>924</v>
      </c>
      <c r="N44" s="9">
        <f>AVERAGE(919,999,1000,979,799,1060,900,1025,1100,1072,787)</f>
        <v>967.27272727272725</v>
      </c>
      <c r="O44" s="9" t="s">
        <v>1061</v>
      </c>
      <c r="P44" s="65">
        <v>950</v>
      </c>
      <c r="Q44" s="9" t="s">
        <v>723</v>
      </c>
      <c r="R44" s="50" t="s">
        <v>30</v>
      </c>
      <c r="S44" s="65">
        <v>1400</v>
      </c>
      <c r="T44" s="9" t="s">
        <v>681</v>
      </c>
      <c r="U44" s="50" t="s">
        <v>30</v>
      </c>
    </row>
    <row r="45" spans="1:21" ht="12.6" customHeight="1">
      <c r="A45" s="73" t="s">
        <v>25</v>
      </c>
      <c r="B45" s="73" t="s">
        <v>128</v>
      </c>
      <c r="C45" s="9">
        <v>18</v>
      </c>
      <c r="D45" s="10">
        <v>3.5</v>
      </c>
      <c r="E45" s="9">
        <f t="shared" si="2"/>
        <v>28.8</v>
      </c>
      <c r="F45" s="64" t="s">
        <v>127</v>
      </c>
      <c r="G45" s="75">
        <v>0.25</v>
      </c>
      <c r="H45" s="76">
        <v>0.35</v>
      </c>
      <c r="I45" s="9">
        <v>61.5</v>
      </c>
      <c r="J45" s="9">
        <v>75</v>
      </c>
      <c r="K45" s="50">
        <v>72</v>
      </c>
      <c r="L45" s="65">
        <f>AVERAGE(248,267,370,299,440,307,400,340,475,407,405,405,382)</f>
        <v>365</v>
      </c>
      <c r="M45" s="50" t="s">
        <v>952</v>
      </c>
      <c r="N45" s="9">
        <f>AVERAGE(600,513,529,531,450,525,545,475,399,550,579)</f>
        <v>517.81818181818187</v>
      </c>
      <c r="O45" s="9" t="s">
        <v>892</v>
      </c>
      <c r="P45" s="65">
        <v>546</v>
      </c>
      <c r="Q45" s="9" t="s">
        <v>577</v>
      </c>
      <c r="R45" s="50" t="s">
        <v>28</v>
      </c>
      <c r="S45" s="65">
        <v>700</v>
      </c>
      <c r="T45" s="9" t="s">
        <v>476</v>
      </c>
      <c r="U45" s="50" t="s">
        <v>30</v>
      </c>
    </row>
    <row r="46" spans="1:21" ht="12.6" customHeight="1">
      <c r="A46" s="73" t="s">
        <v>25</v>
      </c>
      <c r="B46" s="73" t="s">
        <v>129</v>
      </c>
      <c r="C46" s="9">
        <v>20</v>
      </c>
      <c r="D46" s="10">
        <v>2.8</v>
      </c>
      <c r="E46" s="9">
        <f t="shared" si="2"/>
        <v>32</v>
      </c>
      <c r="F46" s="64" t="s">
        <v>127</v>
      </c>
      <c r="G46" s="75">
        <v>0.25</v>
      </c>
      <c r="H46" s="76">
        <v>0.26</v>
      </c>
      <c r="I46" s="9">
        <v>42.5</v>
      </c>
      <c r="J46" s="9">
        <v>69</v>
      </c>
      <c r="K46" s="50">
        <v>62</v>
      </c>
      <c r="L46" s="65">
        <f>AVERAGE(335,234,270,289,288,239,236,305,270,265,305,240,275,325)</f>
        <v>276.85714285714283</v>
      </c>
      <c r="M46" s="50" t="s">
        <v>1153</v>
      </c>
      <c r="N46" s="9">
        <f>AVERAGE(380,349,350,414,405,368,429,446,410,370,379)</f>
        <v>390.90909090909093</v>
      </c>
      <c r="O46" s="9" t="s">
        <v>999</v>
      </c>
      <c r="P46" s="65">
        <v>440</v>
      </c>
      <c r="Q46" s="9" t="s">
        <v>639</v>
      </c>
      <c r="R46" s="50" t="s">
        <v>31</v>
      </c>
      <c r="S46" s="65">
        <v>600</v>
      </c>
      <c r="T46" s="9" t="s">
        <v>639</v>
      </c>
      <c r="U46" s="50" t="s">
        <v>28</v>
      </c>
    </row>
    <row r="47" spans="1:21" ht="12.6" customHeight="1">
      <c r="A47" s="67" t="s">
        <v>25</v>
      </c>
      <c r="B47" s="67" t="s">
        <v>326</v>
      </c>
      <c r="C47" s="36">
        <v>20</v>
      </c>
      <c r="D47" s="71">
        <v>3.5</v>
      </c>
      <c r="E47" s="36">
        <f t="shared" si="2"/>
        <v>32</v>
      </c>
      <c r="F47" s="69" t="s">
        <v>145</v>
      </c>
      <c r="G47" s="59">
        <v>0.3</v>
      </c>
      <c r="H47" s="40">
        <v>0.23499999999999999</v>
      </c>
      <c r="I47" s="36">
        <v>40.5</v>
      </c>
      <c r="J47" s="36">
        <v>63.5</v>
      </c>
      <c r="K47" s="52">
        <v>52</v>
      </c>
      <c r="L47" s="61">
        <f>AVERAGE(159,265,200,255,215,192,225,250,250,228,199,195)</f>
        <v>219.41666666666666</v>
      </c>
      <c r="M47" s="52" t="s">
        <v>1061</v>
      </c>
      <c r="N47" s="36">
        <f>AVERAGE(340,290,369,310,296,311,349,319,300,318,274,330,329)</f>
        <v>318.07692307692309</v>
      </c>
      <c r="O47" s="36" t="s">
        <v>1171</v>
      </c>
      <c r="P47" s="61">
        <v>200</v>
      </c>
      <c r="Q47" s="36" t="s">
        <v>1153</v>
      </c>
      <c r="R47" s="52" t="s">
        <v>948</v>
      </c>
      <c r="S47" s="61">
        <v>275</v>
      </c>
      <c r="T47" s="36" t="s">
        <v>681</v>
      </c>
      <c r="U47" s="52" t="s">
        <v>26</v>
      </c>
    </row>
    <row r="48" spans="1:21" ht="12.6" customHeight="1">
      <c r="A48" s="73" t="s">
        <v>25</v>
      </c>
      <c r="B48" s="114" t="s">
        <v>500</v>
      </c>
      <c r="C48" s="9">
        <v>28</v>
      </c>
      <c r="D48" s="10">
        <v>3.5</v>
      </c>
      <c r="E48" s="9">
        <f t="shared" si="2"/>
        <v>44.800000000000004</v>
      </c>
      <c r="F48" s="64" t="s">
        <v>145</v>
      </c>
      <c r="G48" s="75">
        <v>0.3</v>
      </c>
      <c r="H48" s="76">
        <v>0.38</v>
      </c>
      <c r="I48" s="9">
        <v>69</v>
      </c>
      <c r="J48" s="9">
        <v>78</v>
      </c>
      <c r="K48" s="50">
        <v>72</v>
      </c>
      <c r="L48" s="9">
        <f>AVERAGE(327,329,253,290,244,271,291,275,275,245,253,300)</f>
        <v>279.41666666666669</v>
      </c>
      <c r="M48" s="50" t="s">
        <v>1118</v>
      </c>
      <c r="N48" s="9">
        <f>AVERAGE(415,435,375,480,450,398,369,380,365,400,410,425)</f>
        <v>408.5</v>
      </c>
      <c r="O48" s="9" t="s">
        <v>1100</v>
      </c>
      <c r="P48" s="65">
        <v>400</v>
      </c>
      <c r="Q48" s="9" t="s">
        <v>1153</v>
      </c>
      <c r="R48" s="50" t="s">
        <v>948</v>
      </c>
      <c r="S48" s="65">
        <v>475</v>
      </c>
      <c r="T48" s="9" t="s">
        <v>708</v>
      </c>
      <c r="U48" s="50" t="s">
        <v>26</v>
      </c>
    </row>
    <row r="49" spans="1:21" ht="12.6" customHeight="1">
      <c r="A49" s="73" t="s">
        <v>25</v>
      </c>
      <c r="B49" s="114" t="s">
        <v>188</v>
      </c>
      <c r="C49" s="9">
        <v>28</v>
      </c>
      <c r="D49" s="10">
        <v>4</v>
      </c>
      <c r="E49" s="9">
        <f t="shared" si="2"/>
        <v>44.800000000000004</v>
      </c>
      <c r="F49" s="64" t="s">
        <v>145</v>
      </c>
      <c r="G49" s="75">
        <v>0.3</v>
      </c>
      <c r="H49" s="76">
        <v>0.41</v>
      </c>
      <c r="I49" s="9" t="s">
        <v>14</v>
      </c>
      <c r="J49" s="9">
        <v>78</v>
      </c>
      <c r="K49" s="50">
        <v>72</v>
      </c>
      <c r="L49" s="9">
        <f>AVERAGE(289,319,339,260,300,366,255,342,325)</f>
        <v>310.55555555555554</v>
      </c>
      <c r="M49" s="50" t="s">
        <v>918</v>
      </c>
      <c r="N49" s="9">
        <f>AVERAGE(498,549,657)</f>
        <v>568</v>
      </c>
      <c r="O49" s="9" t="s">
        <v>467</v>
      </c>
      <c r="P49" s="65">
        <v>367</v>
      </c>
      <c r="Q49" s="9" t="s">
        <v>639</v>
      </c>
      <c r="R49" s="50" t="s">
        <v>28</v>
      </c>
      <c r="S49" s="65">
        <v>800</v>
      </c>
      <c r="T49" s="9" t="s">
        <v>379</v>
      </c>
      <c r="U49" s="50" t="s">
        <v>30</v>
      </c>
    </row>
    <row r="50" spans="1:21" ht="12.6" customHeight="1">
      <c r="A50" s="73" t="s">
        <v>25</v>
      </c>
      <c r="B50" s="114" t="s">
        <v>143</v>
      </c>
      <c r="C50" s="9">
        <v>35</v>
      </c>
      <c r="D50" s="10">
        <v>1.4</v>
      </c>
      <c r="E50" s="9">
        <f t="shared" si="2"/>
        <v>56</v>
      </c>
      <c r="F50" s="64" t="s">
        <v>127</v>
      </c>
      <c r="G50" s="75">
        <v>0.3</v>
      </c>
      <c r="H50" s="76">
        <v>0.41</v>
      </c>
      <c r="I50" s="9">
        <v>62</v>
      </c>
      <c r="J50" s="9">
        <v>67.5</v>
      </c>
      <c r="K50" s="50">
        <v>52</v>
      </c>
      <c r="L50" s="9">
        <f>AVERAGE(325,339,277,375,315,375,360,308,320,325)</f>
        <v>331.9</v>
      </c>
      <c r="M50" s="50" t="s">
        <v>1171</v>
      </c>
      <c r="N50" s="9">
        <f>AVERAGE(460,479,410,468,465,475,454,422,380,507,435,400)</f>
        <v>446.25</v>
      </c>
      <c r="O50" s="9" t="s">
        <v>1171</v>
      </c>
      <c r="P50" s="65">
        <v>475</v>
      </c>
      <c r="Q50" s="9" t="s">
        <v>723</v>
      </c>
      <c r="R50" s="50" t="s">
        <v>30</v>
      </c>
      <c r="S50" s="65">
        <v>600</v>
      </c>
      <c r="T50" s="9" t="s">
        <v>681</v>
      </c>
      <c r="U50" s="50" t="s">
        <v>30</v>
      </c>
    </row>
    <row r="51" spans="1:21" ht="12.6" customHeight="1">
      <c r="A51" s="67" t="s">
        <v>25</v>
      </c>
      <c r="B51" s="67" t="s">
        <v>305</v>
      </c>
      <c r="C51" s="36">
        <v>35</v>
      </c>
      <c r="D51" s="71">
        <v>2.8</v>
      </c>
      <c r="E51" s="36">
        <f t="shared" si="2"/>
        <v>56</v>
      </c>
      <c r="F51" s="69" t="s">
        <v>145</v>
      </c>
      <c r="G51" s="59">
        <v>0.3</v>
      </c>
      <c r="H51" s="40">
        <v>0.32</v>
      </c>
      <c r="I51" s="36">
        <v>66</v>
      </c>
      <c r="J51" s="36">
        <v>62</v>
      </c>
      <c r="K51" s="52">
        <v>52</v>
      </c>
      <c r="L51" s="36">
        <f>AVERAGE(240,255,229,295,329,250,271,196,259,215,241,285,279)</f>
        <v>257.23076923076923</v>
      </c>
      <c r="M51" s="36" t="s">
        <v>1171</v>
      </c>
      <c r="N51" s="61">
        <f>AVERAGE(350,300,368,299,320,450,384,448,302,470,428,460)</f>
        <v>381.58333333333331</v>
      </c>
      <c r="O51" s="36" t="s">
        <v>1153</v>
      </c>
      <c r="P51" s="61">
        <v>195</v>
      </c>
      <c r="Q51" s="36" t="s">
        <v>918</v>
      </c>
      <c r="R51" s="52" t="s">
        <v>26</v>
      </c>
      <c r="S51" s="61">
        <v>400</v>
      </c>
      <c r="T51" s="36" t="s">
        <v>723</v>
      </c>
      <c r="U51" s="52" t="s">
        <v>30</v>
      </c>
    </row>
    <row r="52" spans="1:21" ht="12.6" customHeight="1">
      <c r="A52" s="73" t="s">
        <v>25</v>
      </c>
      <c r="B52" s="114" t="s">
        <v>215</v>
      </c>
      <c r="C52" s="9">
        <v>50</v>
      </c>
      <c r="D52" s="10">
        <v>1.2</v>
      </c>
      <c r="E52" s="9">
        <f t="shared" si="2"/>
        <v>80</v>
      </c>
      <c r="F52" s="64" t="s">
        <v>127</v>
      </c>
      <c r="G52" s="75">
        <v>0.5</v>
      </c>
      <c r="H52" s="76">
        <v>0.41</v>
      </c>
      <c r="I52" s="9">
        <v>49.5</v>
      </c>
      <c r="J52" s="9">
        <v>72</v>
      </c>
      <c r="K52" s="50">
        <v>52</v>
      </c>
      <c r="L52" s="9">
        <f>AVERAGE(310,340,289,310,339,333,315,365,272,319)</f>
        <v>319.2</v>
      </c>
      <c r="M52" s="50" t="s">
        <v>1171</v>
      </c>
      <c r="N52" s="9">
        <f>AVERAGE(420,400,370,360,329,399,470,350,385,513,420)</f>
        <v>401.45454545454544</v>
      </c>
      <c r="O52" s="50" t="s">
        <v>1153</v>
      </c>
      <c r="P52" s="65">
        <v>460</v>
      </c>
      <c r="Q52" s="9" t="s">
        <v>723</v>
      </c>
      <c r="R52" s="50" t="s">
        <v>30</v>
      </c>
      <c r="S52" s="65">
        <v>395</v>
      </c>
      <c r="T52" s="9" t="s">
        <v>1153</v>
      </c>
      <c r="U52" s="50" t="s">
        <v>26</v>
      </c>
    </row>
    <row r="53" spans="1:21" ht="12.6" customHeight="1">
      <c r="A53" s="67" t="s">
        <v>25</v>
      </c>
      <c r="B53" s="67" t="s">
        <v>440</v>
      </c>
      <c r="C53" s="36">
        <v>58</v>
      </c>
      <c r="D53" s="71">
        <v>1.2</v>
      </c>
      <c r="E53" s="36">
        <f t="shared" si="2"/>
        <v>92.800000000000011</v>
      </c>
      <c r="F53" s="69" t="s">
        <v>145</v>
      </c>
      <c r="G53" s="59">
        <v>0.5</v>
      </c>
      <c r="H53" s="40">
        <v>0.46500000000000002</v>
      </c>
      <c r="I53" s="36">
        <v>51.5</v>
      </c>
      <c r="J53" s="36">
        <v>74</v>
      </c>
      <c r="K53" s="52">
        <v>52</v>
      </c>
      <c r="L53" s="36">
        <f>AVERAGE(2899,,2350,2999,2544,2599,2740,2600,2499,2850,2550,2850,2891)</f>
        <v>2490.0769230769229</v>
      </c>
      <c r="M53" s="36" t="s">
        <v>1061</v>
      </c>
      <c r="N53" s="61">
        <f>AVERAGE(2899,3299,3000,3200,3199,3495,3199,3549,3500,3037,3395,3150,3050)</f>
        <v>3228.6153846153848</v>
      </c>
      <c r="O53" s="36" t="s">
        <v>1153</v>
      </c>
      <c r="P53" s="61">
        <v>3392</v>
      </c>
      <c r="Q53" s="36" t="s">
        <v>1153</v>
      </c>
      <c r="R53" s="52" t="s">
        <v>28</v>
      </c>
      <c r="S53" s="61" t="s">
        <v>14</v>
      </c>
      <c r="T53" s="36" t="s">
        <v>14</v>
      </c>
      <c r="U53" s="52" t="s">
        <v>14</v>
      </c>
    </row>
    <row r="54" spans="1:21" ht="12.6" customHeight="1">
      <c r="A54" s="73" t="s">
        <v>25</v>
      </c>
      <c r="B54" s="73" t="s">
        <v>130</v>
      </c>
      <c r="C54" s="9">
        <v>85</v>
      </c>
      <c r="D54" s="10">
        <v>1.4</v>
      </c>
      <c r="E54" s="9">
        <f t="shared" si="2"/>
        <v>136</v>
      </c>
      <c r="F54" s="64" t="s">
        <v>127</v>
      </c>
      <c r="G54" s="75">
        <v>0.85</v>
      </c>
      <c r="H54" s="76">
        <v>0.62</v>
      </c>
      <c r="I54" s="9">
        <v>64.5</v>
      </c>
      <c r="J54" s="9">
        <v>80.5</v>
      </c>
      <c r="K54" s="50">
        <v>72</v>
      </c>
      <c r="L54" s="9">
        <f>AVERAGE(400,420,450,430,440,423,420,413,314,490,440,470,498)</f>
        <v>431.38461538461536</v>
      </c>
      <c r="M54" s="25" t="s">
        <v>1061</v>
      </c>
      <c r="N54" s="77">
        <f>AVERAGE(500,550,540,600,600,550,499,550,570,509,578)</f>
        <v>549.63636363636363</v>
      </c>
      <c r="O54" s="167" t="s">
        <v>1153</v>
      </c>
      <c r="P54" s="65">
        <v>600</v>
      </c>
      <c r="Q54" s="9" t="s">
        <v>723</v>
      </c>
      <c r="R54" s="50" t="s">
        <v>30</v>
      </c>
      <c r="S54" s="65">
        <v>950</v>
      </c>
      <c r="T54" s="9" t="s">
        <v>639</v>
      </c>
      <c r="U54" s="50" t="s">
        <v>327</v>
      </c>
    </row>
    <row r="55" spans="1:21" ht="12.6" customHeight="1">
      <c r="A55" s="73" t="s">
        <v>25</v>
      </c>
      <c r="B55" s="73" t="s">
        <v>131</v>
      </c>
      <c r="C55" s="9">
        <v>105</v>
      </c>
      <c r="D55" s="10">
        <v>1.8</v>
      </c>
      <c r="E55" s="9">
        <f t="shared" si="2"/>
        <v>168</v>
      </c>
      <c r="F55" s="64" t="s">
        <v>127</v>
      </c>
      <c r="G55" s="75">
        <v>1</v>
      </c>
      <c r="H55" s="76">
        <v>0.57999999999999996</v>
      </c>
      <c r="I55" s="9">
        <v>80.5</v>
      </c>
      <c r="J55" s="9">
        <v>78.5</v>
      </c>
      <c r="K55" s="50">
        <v>62</v>
      </c>
      <c r="L55" s="9">
        <f>AVERAGE(350,401,399,315,289,370,350,303,260,300,294,299,285,299,318,383)</f>
        <v>325.9375</v>
      </c>
      <c r="M55" s="9" t="s">
        <v>1153</v>
      </c>
      <c r="N55" s="65">
        <f>AVERAGE(550,495,470,540,520,549,420,460,428,447,435,458)</f>
        <v>481</v>
      </c>
      <c r="O55" s="50" t="s">
        <v>1171</v>
      </c>
      <c r="P55" s="65">
        <v>500</v>
      </c>
      <c r="Q55" s="9" t="s">
        <v>681</v>
      </c>
      <c r="R55" s="50" t="s">
        <v>30</v>
      </c>
      <c r="S55" s="65">
        <v>795</v>
      </c>
      <c r="T55" s="9" t="s">
        <v>457</v>
      </c>
      <c r="U55" s="50" t="s">
        <v>27</v>
      </c>
    </row>
    <row r="56" spans="1:21" ht="12.6" customHeight="1">
      <c r="A56" s="73" t="s">
        <v>25</v>
      </c>
      <c r="B56" s="73" t="s">
        <v>421</v>
      </c>
      <c r="C56" s="9">
        <v>105</v>
      </c>
      <c r="D56" s="10">
        <v>2.5</v>
      </c>
      <c r="E56" s="9">
        <f t="shared" si="2"/>
        <v>168</v>
      </c>
      <c r="F56" s="64" t="s">
        <v>226</v>
      </c>
      <c r="G56" s="75">
        <v>1</v>
      </c>
      <c r="H56" s="76">
        <v>0.435</v>
      </c>
      <c r="I56" s="9">
        <v>66</v>
      </c>
      <c r="J56" s="9">
        <v>68.5</v>
      </c>
      <c r="K56" s="50">
        <v>52</v>
      </c>
      <c r="L56" s="9">
        <f>AVERAGE(115,109,129,118,117,110,124,115,137,110,104,114)</f>
        <v>116.83333333333333</v>
      </c>
      <c r="M56" s="9" t="s">
        <v>1091</v>
      </c>
      <c r="N56" s="65">
        <f>AVERAGE(245,200,158,199,140,230,185,165,169,225,229,159)</f>
        <v>192</v>
      </c>
      <c r="O56" s="50" t="s">
        <v>1061</v>
      </c>
      <c r="P56" s="65">
        <v>130</v>
      </c>
      <c r="Q56" s="9" t="s">
        <v>639</v>
      </c>
      <c r="R56" s="50" t="s">
        <v>30</v>
      </c>
      <c r="S56" s="65">
        <v>100</v>
      </c>
      <c r="T56" s="9" t="s">
        <v>1061</v>
      </c>
      <c r="U56" s="50" t="s">
        <v>26</v>
      </c>
    </row>
    <row r="57" spans="1:21" ht="12.6" customHeight="1">
      <c r="A57" s="73" t="s">
        <v>25</v>
      </c>
      <c r="B57" s="73" t="s">
        <v>422</v>
      </c>
      <c r="C57" s="9">
        <v>105</v>
      </c>
      <c r="D57" s="10">
        <v>2.5</v>
      </c>
      <c r="E57" s="9">
        <f t="shared" si="2"/>
        <v>168</v>
      </c>
      <c r="F57" s="64" t="s">
        <v>145</v>
      </c>
      <c r="G57" s="75">
        <v>1</v>
      </c>
      <c r="H57" s="76">
        <v>0.435</v>
      </c>
      <c r="I57" s="9">
        <v>68.5</v>
      </c>
      <c r="J57" s="9">
        <v>66</v>
      </c>
      <c r="K57" s="50">
        <v>52</v>
      </c>
      <c r="L57" s="65">
        <f>AVERAGE(150,116,135,130,145,135,150,140,130,144,140,120,115,135)</f>
        <v>134.64285714285714</v>
      </c>
      <c r="M57" s="50" t="s">
        <v>1171</v>
      </c>
      <c r="N57" s="9">
        <f>AVERAGE(238,194,180,160,200,184,178,210,190,218,198,220,238,199)</f>
        <v>200.5</v>
      </c>
      <c r="O57" s="10" t="s">
        <v>1171</v>
      </c>
      <c r="P57" s="65">
        <v>150</v>
      </c>
      <c r="Q57" s="10" t="s">
        <v>1061</v>
      </c>
      <c r="R57" s="50" t="s">
        <v>30</v>
      </c>
      <c r="S57" s="65">
        <v>150</v>
      </c>
      <c r="T57" s="10" t="s">
        <v>681</v>
      </c>
      <c r="U57" s="50" t="s">
        <v>26</v>
      </c>
    </row>
    <row r="58" spans="1:21" ht="12.6" customHeight="1">
      <c r="A58" s="67" t="s">
        <v>25</v>
      </c>
      <c r="B58" s="67" t="s">
        <v>171</v>
      </c>
      <c r="C58" s="36">
        <v>135</v>
      </c>
      <c r="D58" s="71">
        <v>2</v>
      </c>
      <c r="E58" s="36">
        <f t="shared" si="2"/>
        <v>216</v>
      </c>
      <c r="F58" s="69" t="s">
        <v>127</v>
      </c>
      <c r="G58" s="59">
        <v>1.3</v>
      </c>
      <c r="H58" s="40">
        <v>0.86</v>
      </c>
      <c r="I58" s="36">
        <v>93.5</v>
      </c>
      <c r="J58" s="36">
        <v>80.5</v>
      </c>
      <c r="K58" s="52">
        <v>72</v>
      </c>
      <c r="L58" s="36">
        <f>AVERAGE(445,299,350,365,398,400,300,420,350,360,348,399,380,320)</f>
        <v>366.71428571428572</v>
      </c>
      <c r="M58" s="68" t="s">
        <v>1171</v>
      </c>
      <c r="N58" s="61">
        <f>AVERAGE(500,556,520,519,530,585,526,618,530,528,507,530,639)</f>
        <v>545.23076923076928</v>
      </c>
      <c r="O58" s="52" t="s">
        <v>1110</v>
      </c>
      <c r="P58" s="61">
        <v>650</v>
      </c>
      <c r="Q58" s="36" t="s">
        <v>723</v>
      </c>
      <c r="R58" s="52" t="s">
        <v>30</v>
      </c>
      <c r="S58" s="61">
        <v>750</v>
      </c>
      <c r="T58" s="36" t="s">
        <v>452</v>
      </c>
      <c r="U58" s="52" t="s">
        <v>31</v>
      </c>
    </row>
    <row r="59" spans="1:21" ht="12.6" customHeight="1">
      <c r="A59" s="73" t="s">
        <v>25</v>
      </c>
      <c r="B59" s="73" t="s">
        <v>146</v>
      </c>
      <c r="C59" s="9">
        <v>200</v>
      </c>
      <c r="D59" s="10">
        <v>2</v>
      </c>
      <c r="E59" s="9">
        <f t="shared" si="2"/>
        <v>320</v>
      </c>
      <c r="F59" s="64" t="s">
        <v>127</v>
      </c>
      <c r="G59" s="75">
        <v>2.4</v>
      </c>
      <c r="H59" s="76">
        <v>2.4</v>
      </c>
      <c r="I59" s="9">
        <v>222</v>
      </c>
      <c r="J59" s="9">
        <v>138</v>
      </c>
      <c r="K59" s="50">
        <v>122</v>
      </c>
      <c r="L59" s="9">
        <f>AVERAGE(1587,1199,1249,1180,1600,1355,1376,1149)</f>
        <v>1336.875</v>
      </c>
      <c r="M59" s="9" t="s">
        <v>874</v>
      </c>
      <c r="N59" s="65">
        <f>AVERAGE(2070,2300,1999,2000,1625,2300,1935)</f>
        <v>2032.7142857142858</v>
      </c>
      <c r="O59" s="9" t="s">
        <v>954</v>
      </c>
      <c r="P59" s="65">
        <v>2150</v>
      </c>
      <c r="Q59" s="9" t="s">
        <v>619</v>
      </c>
      <c r="R59" s="50" t="s">
        <v>31</v>
      </c>
      <c r="S59" s="65">
        <v>2500</v>
      </c>
      <c r="T59" s="9" t="s">
        <v>399</v>
      </c>
      <c r="U59" s="50" t="s">
        <v>400</v>
      </c>
    </row>
    <row r="60" spans="1:21" ht="12.6" customHeight="1">
      <c r="A60" s="73" t="s">
        <v>25</v>
      </c>
      <c r="B60" s="73" t="s">
        <v>372</v>
      </c>
      <c r="C60" s="9">
        <v>300</v>
      </c>
      <c r="D60" s="10">
        <v>2</v>
      </c>
      <c r="E60" s="9">
        <f t="shared" si="2"/>
        <v>480</v>
      </c>
      <c r="F60" s="64" t="s">
        <v>127</v>
      </c>
      <c r="G60" s="75" t="s">
        <v>122</v>
      </c>
      <c r="H60" s="76">
        <v>7.1</v>
      </c>
      <c r="I60" s="9">
        <v>331</v>
      </c>
      <c r="J60" s="9">
        <v>183</v>
      </c>
      <c r="K60" s="50" t="s">
        <v>40</v>
      </c>
      <c r="L60" s="65">
        <f>AVERAGE(6658)</f>
        <v>6658</v>
      </c>
      <c r="M60" s="9" t="s">
        <v>681</v>
      </c>
      <c r="N60" s="65">
        <f>AVERAGE(0)</f>
        <v>0</v>
      </c>
      <c r="O60" s="9" t="s">
        <v>14</v>
      </c>
      <c r="P60" s="65" t="s">
        <v>14</v>
      </c>
      <c r="Q60" s="9" t="s">
        <v>14</v>
      </c>
      <c r="R60" s="50" t="s">
        <v>14</v>
      </c>
      <c r="S60" s="65" t="s">
        <v>14</v>
      </c>
      <c r="T60" s="9" t="s">
        <v>14</v>
      </c>
      <c r="U60" s="50" t="s">
        <v>14</v>
      </c>
    </row>
    <row r="61" spans="1:21" ht="12.6" customHeight="1">
      <c r="A61" s="67" t="s">
        <v>25</v>
      </c>
      <c r="B61" s="67" t="s">
        <v>373</v>
      </c>
      <c r="C61" s="36">
        <v>300</v>
      </c>
      <c r="D61" s="71">
        <v>2.8</v>
      </c>
      <c r="E61" s="36">
        <f t="shared" si="2"/>
        <v>480</v>
      </c>
      <c r="F61" s="69" t="s">
        <v>127</v>
      </c>
      <c r="G61" s="59">
        <v>3</v>
      </c>
      <c r="H61" s="40">
        <v>2.5</v>
      </c>
      <c r="I61" s="36">
        <v>241</v>
      </c>
      <c r="J61" s="36">
        <v>138</v>
      </c>
      <c r="K61" s="52" t="s">
        <v>213</v>
      </c>
      <c r="L61" s="36">
        <f>AVERAGE(950,820,760,999,950,700,880,819,681,819,800,800,815)</f>
        <v>830.23076923076928</v>
      </c>
      <c r="M61" s="36" t="s">
        <v>1171</v>
      </c>
      <c r="N61" s="61">
        <f>AVERAGE(1200,1200,1129,950,1345,1380,1599,1150)</f>
        <v>1244.125</v>
      </c>
      <c r="O61" s="36" t="s">
        <v>1171</v>
      </c>
      <c r="P61" s="61">
        <v>950</v>
      </c>
      <c r="Q61" s="36" t="s">
        <v>577</v>
      </c>
      <c r="R61" s="52" t="s">
        <v>30</v>
      </c>
      <c r="S61" s="61">
        <v>1375</v>
      </c>
      <c r="T61" s="36" t="s">
        <v>484</v>
      </c>
      <c r="U61" s="52" t="s">
        <v>27</v>
      </c>
    </row>
    <row r="62" spans="1:21" ht="12.6" customHeight="1">
      <c r="A62" s="73" t="s">
        <v>25</v>
      </c>
      <c r="B62" s="73" t="s">
        <v>374</v>
      </c>
      <c r="C62" s="9">
        <v>400</v>
      </c>
      <c r="D62" s="10">
        <v>2.8</v>
      </c>
      <c r="E62" s="9">
        <f t="shared" si="2"/>
        <v>640</v>
      </c>
      <c r="F62" s="64" t="s">
        <v>127</v>
      </c>
      <c r="G62" s="75">
        <v>4.5999999999999996</v>
      </c>
      <c r="H62" s="76">
        <v>5.15</v>
      </c>
      <c r="I62" s="9">
        <v>378.5</v>
      </c>
      <c r="J62" s="9">
        <v>163</v>
      </c>
      <c r="K62" s="50" t="s">
        <v>40</v>
      </c>
      <c r="L62" s="77">
        <f>AVERAGE(1690,2024,1678,1499,1678,1500,1999)</f>
        <v>1724</v>
      </c>
      <c r="M62" s="78" t="s">
        <v>1153</v>
      </c>
      <c r="N62" s="9">
        <f>AVERAGE(2195,2334,2549,2551,2550,2400,2650,2499)</f>
        <v>2466</v>
      </c>
      <c r="O62" s="25" t="s">
        <v>709</v>
      </c>
      <c r="P62" s="65">
        <v>3100</v>
      </c>
      <c r="Q62" s="9" t="s">
        <v>681</v>
      </c>
      <c r="R62" s="50" t="s">
        <v>30</v>
      </c>
      <c r="S62" s="65" t="s">
        <v>14</v>
      </c>
      <c r="T62" s="9" t="s">
        <v>14</v>
      </c>
      <c r="U62" s="50" t="s">
        <v>14</v>
      </c>
    </row>
    <row r="63" spans="1:21" ht="12.6" customHeight="1">
      <c r="A63" s="73" t="s">
        <v>25</v>
      </c>
      <c r="B63" s="73" t="s">
        <v>371</v>
      </c>
      <c r="C63" s="9">
        <v>400</v>
      </c>
      <c r="D63" s="10">
        <v>3.5</v>
      </c>
      <c r="E63" s="9">
        <f t="shared" si="2"/>
        <v>640</v>
      </c>
      <c r="F63" s="64" t="s">
        <v>127</v>
      </c>
      <c r="G63" s="75">
        <v>4.5999999999999996</v>
      </c>
      <c r="H63" s="76">
        <v>2.8</v>
      </c>
      <c r="I63" s="9">
        <v>297.2</v>
      </c>
      <c r="J63" s="9">
        <v>134.6</v>
      </c>
      <c r="K63" s="50" t="s">
        <v>336</v>
      </c>
      <c r="L63" s="65">
        <f>AVERAGE(1299,1028,975,909,1100,1150,1078,946,1349,998,1295,1148)</f>
        <v>1106.25</v>
      </c>
      <c r="M63" s="50" t="s">
        <v>1153</v>
      </c>
      <c r="N63" s="9">
        <f>AVERAGE(1280,1299,1200,1275,1300,1525,1400,1400)</f>
        <v>1334.875</v>
      </c>
      <c r="O63" s="9" t="s">
        <v>1153</v>
      </c>
      <c r="P63" s="65">
        <v>1000</v>
      </c>
      <c r="Q63" s="9" t="s">
        <v>723</v>
      </c>
      <c r="R63" s="50" t="s">
        <v>30</v>
      </c>
      <c r="S63" s="65" t="s">
        <v>14</v>
      </c>
      <c r="T63" s="9" t="s">
        <v>14</v>
      </c>
      <c r="U63" s="50" t="s">
        <v>14</v>
      </c>
    </row>
    <row r="64" spans="1:21" ht="12.6" customHeight="1">
      <c r="A64" s="73" t="s">
        <v>25</v>
      </c>
      <c r="B64" s="73" t="s">
        <v>368</v>
      </c>
      <c r="C64" s="9">
        <v>500</v>
      </c>
      <c r="D64" s="10">
        <v>4</v>
      </c>
      <c r="E64" s="9">
        <f t="shared" si="2"/>
        <v>800</v>
      </c>
      <c r="F64" s="64" t="s">
        <v>127</v>
      </c>
      <c r="G64" s="75">
        <v>5</v>
      </c>
      <c r="H64" s="76">
        <v>3</v>
      </c>
      <c r="I64" s="9">
        <v>384</v>
      </c>
      <c r="J64" s="9">
        <v>138</v>
      </c>
      <c r="K64" s="50" t="s">
        <v>213</v>
      </c>
      <c r="L64" s="65">
        <f>AVERAGE(1540,1149,1250,1275,1031,1587,1600)</f>
        <v>1347.4285714285713</v>
      </c>
      <c r="M64" s="118" t="s">
        <v>1110</v>
      </c>
      <c r="N64" s="9">
        <f>AVERAGE(2400,2400,1775,2210,1900,2450,2275,2450,2250,2500,2325)</f>
        <v>2266.818181818182</v>
      </c>
      <c r="O64" s="25" t="s">
        <v>918</v>
      </c>
      <c r="P64" s="65">
        <v>1800</v>
      </c>
      <c r="Q64" s="9" t="s">
        <v>723</v>
      </c>
      <c r="R64" s="50" t="s">
        <v>30</v>
      </c>
      <c r="S64" s="65">
        <v>1795</v>
      </c>
      <c r="T64" s="9" t="s">
        <v>999</v>
      </c>
      <c r="U64" s="50" t="s">
        <v>26</v>
      </c>
    </row>
    <row r="65" spans="1:21" ht="12.6" customHeight="1">
      <c r="A65" s="73" t="s">
        <v>25</v>
      </c>
      <c r="B65" s="73" t="s">
        <v>369</v>
      </c>
      <c r="C65" s="9">
        <v>600</v>
      </c>
      <c r="D65" s="10">
        <v>4</v>
      </c>
      <c r="E65" s="9">
        <f t="shared" si="2"/>
        <v>960</v>
      </c>
      <c r="F65" s="64" t="s">
        <v>127</v>
      </c>
      <c r="G65" s="75">
        <v>7.6</v>
      </c>
      <c r="H65" s="76">
        <v>5.65</v>
      </c>
      <c r="I65" s="9">
        <v>464.8</v>
      </c>
      <c r="J65" s="9">
        <v>172.7</v>
      </c>
      <c r="K65" s="50" t="s">
        <v>213</v>
      </c>
      <c r="L65" s="65">
        <f>AVERAGE(1650,1900,1700,1989,1798)</f>
        <v>1807.4</v>
      </c>
      <c r="M65" s="50" t="s">
        <v>1118</v>
      </c>
      <c r="N65" s="9">
        <f>AVERAGE(2800,2780,2740,2800,2625)</f>
        <v>2749</v>
      </c>
      <c r="O65" s="9" t="s">
        <v>1110</v>
      </c>
      <c r="P65" s="65">
        <v>3000</v>
      </c>
      <c r="Q65" s="9" t="s">
        <v>723</v>
      </c>
      <c r="R65" s="50" t="s">
        <v>30</v>
      </c>
      <c r="S65" s="65" t="s">
        <v>14</v>
      </c>
      <c r="T65" s="9" t="s">
        <v>14</v>
      </c>
      <c r="U65" s="50" t="s">
        <v>14</v>
      </c>
    </row>
    <row r="66" spans="1:21" ht="12.6" customHeight="1">
      <c r="A66" s="73" t="s">
        <v>25</v>
      </c>
      <c r="B66" s="73" t="s">
        <v>804</v>
      </c>
      <c r="C66" s="9">
        <v>600</v>
      </c>
      <c r="D66" s="10">
        <v>5.6</v>
      </c>
      <c r="E66" s="9">
        <f t="shared" si="2"/>
        <v>960</v>
      </c>
      <c r="F66" s="64" t="s">
        <v>127</v>
      </c>
      <c r="G66" s="75">
        <v>6.1</v>
      </c>
      <c r="H66" s="76">
        <v>2.7</v>
      </c>
      <c r="I66" s="9">
        <v>382</v>
      </c>
      <c r="J66" s="9">
        <v>134</v>
      </c>
      <c r="K66" s="50" t="s">
        <v>213</v>
      </c>
      <c r="L66" s="65">
        <f>AVERAGE(948,999,919,1150,898,1088,1098,1368,1149,861,1350,996,905,1490)</f>
        <v>1087.0714285714287</v>
      </c>
      <c r="M66" s="50" t="s">
        <v>1153</v>
      </c>
      <c r="N66" s="9">
        <f>AVERAGE(1100,1408)</f>
        <v>1254</v>
      </c>
      <c r="O66" s="9" t="s">
        <v>1153</v>
      </c>
      <c r="P66" s="65">
        <v>1602</v>
      </c>
      <c r="Q66" s="9" t="s">
        <v>639</v>
      </c>
      <c r="R66" s="50" t="s">
        <v>28</v>
      </c>
      <c r="S66" s="65" t="s">
        <v>14</v>
      </c>
      <c r="T66" s="9" t="s">
        <v>14</v>
      </c>
      <c r="U66" s="50" t="s">
        <v>14</v>
      </c>
    </row>
    <row r="67" spans="1:21" ht="12.6" customHeight="1">
      <c r="A67" s="73" t="s">
        <v>25</v>
      </c>
      <c r="B67" s="73" t="s">
        <v>370</v>
      </c>
      <c r="C67" s="9">
        <v>800</v>
      </c>
      <c r="D67" s="10">
        <v>5.6</v>
      </c>
      <c r="E67" s="9">
        <f t="shared" ref="E67" si="3">C67*1.6</f>
        <v>1280</v>
      </c>
      <c r="F67" s="64" t="s">
        <v>127</v>
      </c>
      <c r="G67" s="75">
        <v>8</v>
      </c>
      <c r="H67" s="76">
        <v>5.45</v>
      </c>
      <c r="I67" s="9">
        <v>546</v>
      </c>
      <c r="J67" s="9">
        <v>163</v>
      </c>
      <c r="K67" s="50" t="s">
        <v>40</v>
      </c>
      <c r="L67" s="65">
        <f>AVERAGE(1450,1837,1891,2382,2325,1564)</f>
        <v>1908.1666666666667</v>
      </c>
      <c r="M67" s="50" t="s">
        <v>1118</v>
      </c>
      <c r="N67" s="9">
        <f>AVERAGE(3899,2598,3590,3148,3149,2999,3200,3400,3999)</f>
        <v>3331.3333333333335</v>
      </c>
      <c r="O67" s="9" t="s">
        <v>1153</v>
      </c>
      <c r="P67" s="65">
        <v>3650</v>
      </c>
      <c r="Q67" s="9" t="s">
        <v>542</v>
      </c>
      <c r="R67" s="50" t="s">
        <v>30</v>
      </c>
      <c r="S67" s="65">
        <v>4560</v>
      </c>
      <c r="T67" s="9" t="s">
        <v>484</v>
      </c>
      <c r="U67" s="50" t="s">
        <v>28</v>
      </c>
    </row>
    <row r="68" spans="1:21" ht="12.6" customHeight="1">
      <c r="A68" s="67" t="s">
        <v>25</v>
      </c>
      <c r="B68" s="67" t="s">
        <v>1127</v>
      </c>
      <c r="C68" s="36">
        <v>1200</v>
      </c>
      <c r="D68" s="71">
        <v>11</v>
      </c>
      <c r="E68" s="36">
        <f t="shared" si="2"/>
        <v>1920</v>
      </c>
      <c r="F68" s="69" t="s">
        <v>127</v>
      </c>
      <c r="G68" s="59">
        <v>14</v>
      </c>
      <c r="H68" s="40">
        <v>3.9</v>
      </c>
      <c r="I68" s="36">
        <v>577</v>
      </c>
      <c r="J68" s="36">
        <v>134</v>
      </c>
      <c r="K68" s="52" t="s">
        <v>40</v>
      </c>
      <c r="L68" s="61">
        <f>AVERAGE(4499)</f>
        <v>4499</v>
      </c>
      <c r="M68" s="52" t="s">
        <v>1118</v>
      </c>
      <c r="N68" s="36">
        <f>AVERAGE(0)</f>
        <v>0</v>
      </c>
      <c r="O68" s="36" t="s">
        <v>14</v>
      </c>
      <c r="P68" s="61" t="s">
        <v>14</v>
      </c>
      <c r="Q68" s="36" t="s">
        <v>14</v>
      </c>
      <c r="R68" s="52" t="s">
        <v>14</v>
      </c>
      <c r="S68" s="61" t="s">
        <v>14</v>
      </c>
      <c r="T68" s="36" t="s">
        <v>14</v>
      </c>
      <c r="U68" s="52" t="s">
        <v>14</v>
      </c>
    </row>
    <row r="69" spans="1:21" ht="12.6" customHeight="1">
      <c r="A69" s="73" t="s">
        <v>25</v>
      </c>
      <c r="B69" s="73" t="s">
        <v>475</v>
      </c>
      <c r="C69" s="9" t="s">
        <v>248</v>
      </c>
      <c r="D69" s="10">
        <v>2.8</v>
      </c>
      <c r="E69" s="9" t="s">
        <v>249</v>
      </c>
      <c r="F69" s="64" t="s">
        <v>250</v>
      </c>
      <c r="G69" s="75">
        <v>0.28000000000000003</v>
      </c>
      <c r="H69" s="76">
        <v>1</v>
      </c>
      <c r="I69" s="9">
        <v>131</v>
      </c>
      <c r="J69" s="9">
        <v>98</v>
      </c>
      <c r="K69" s="50" t="s">
        <v>29</v>
      </c>
      <c r="L69" s="9">
        <f>AVERAGE(1099,925,1150,1200,1125,1150,1020,1160,1138,1225,1175)</f>
        <v>1124.2727272727273</v>
      </c>
      <c r="M69" s="50" t="s">
        <v>1153</v>
      </c>
      <c r="N69" s="9">
        <f>AVERAGE(1225,1525,1449,1459,1317,1205,1450,1299,1350,1375,1391,1400)</f>
        <v>1370.4166666666667</v>
      </c>
      <c r="O69" s="9" t="s">
        <v>1171</v>
      </c>
      <c r="P69" s="65">
        <v>1672</v>
      </c>
      <c r="Q69" s="9" t="s">
        <v>639</v>
      </c>
      <c r="R69" s="50" t="s">
        <v>28</v>
      </c>
      <c r="S69" s="65">
        <v>1740</v>
      </c>
      <c r="T69" s="9" t="s">
        <v>577</v>
      </c>
      <c r="U69" s="50" t="s">
        <v>28</v>
      </c>
    </row>
    <row r="70" spans="1:21" ht="12.6" customHeight="1">
      <c r="A70" s="73" t="s">
        <v>25</v>
      </c>
      <c r="B70" s="73" t="s">
        <v>167</v>
      </c>
      <c r="C70" s="9" t="s">
        <v>109</v>
      </c>
      <c r="D70" s="10">
        <v>4</v>
      </c>
      <c r="E70" s="9" t="s">
        <v>168</v>
      </c>
      <c r="F70" s="64" t="s">
        <v>127</v>
      </c>
      <c r="G70" s="75">
        <v>3.65</v>
      </c>
      <c r="H70" s="76">
        <v>4</v>
      </c>
      <c r="I70" s="9">
        <v>330</v>
      </c>
      <c r="J70" s="9">
        <v>144</v>
      </c>
      <c r="K70" s="50">
        <v>122</v>
      </c>
      <c r="L70" s="65">
        <f>AVERAGE(2799,1400,2600,2500)</f>
        <v>2324.75</v>
      </c>
      <c r="M70" s="50" t="s">
        <v>951</v>
      </c>
      <c r="N70" s="9">
        <f>AVERAGE(2488,3899,3900,4497,2656,3000,3050)</f>
        <v>3355.7142857142858</v>
      </c>
      <c r="O70" s="9" t="s">
        <v>643</v>
      </c>
      <c r="P70" s="65" t="s">
        <v>14</v>
      </c>
      <c r="Q70" s="9" t="s">
        <v>14</v>
      </c>
      <c r="R70" s="50" t="s">
        <v>14</v>
      </c>
      <c r="S70" s="65" t="s">
        <v>14</v>
      </c>
      <c r="T70" s="9" t="s">
        <v>14</v>
      </c>
      <c r="U70" s="50" t="s">
        <v>14</v>
      </c>
    </row>
    <row r="71" spans="1:21" ht="12.6" customHeight="1">
      <c r="A71" s="67" t="s">
        <v>25</v>
      </c>
      <c r="B71" s="67" t="s">
        <v>712</v>
      </c>
      <c r="C71" s="36" t="s">
        <v>634</v>
      </c>
      <c r="D71" s="71" t="s">
        <v>635</v>
      </c>
      <c r="E71" s="36" t="s">
        <v>14</v>
      </c>
      <c r="F71" s="69" t="s">
        <v>127</v>
      </c>
      <c r="G71" s="59">
        <v>10</v>
      </c>
      <c r="H71" s="41">
        <v>16</v>
      </c>
      <c r="I71" s="36">
        <v>880</v>
      </c>
      <c r="J71" s="36">
        <v>237</v>
      </c>
      <c r="K71" s="52" t="s">
        <v>40</v>
      </c>
      <c r="L71" s="61">
        <f>AVERAGE(0)</f>
        <v>0</v>
      </c>
      <c r="M71" s="52" t="s">
        <v>14</v>
      </c>
      <c r="N71" s="36">
        <f>AVERAGE(0)</f>
        <v>0</v>
      </c>
      <c r="O71" s="36" t="s">
        <v>14</v>
      </c>
      <c r="P71" s="61" t="s">
        <v>14</v>
      </c>
      <c r="Q71" s="36" t="s">
        <v>14</v>
      </c>
      <c r="R71" s="52" t="s">
        <v>14</v>
      </c>
      <c r="S71" s="61" t="s">
        <v>14</v>
      </c>
      <c r="T71" s="36" t="s">
        <v>14</v>
      </c>
      <c r="U71" s="52" t="s">
        <v>14</v>
      </c>
    </row>
    <row r="72" spans="1:21" s="26" customFormat="1" ht="12.6" customHeight="1">
      <c r="A72" s="137" t="s">
        <v>323</v>
      </c>
      <c r="B72" s="130"/>
      <c r="C72" s="43"/>
      <c r="D72" s="131"/>
      <c r="E72" s="43"/>
      <c r="F72" s="135" t="s">
        <v>14</v>
      </c>
      <c r="G72" s="138" t="s">
        <v>14</v>
      </c>
      <c r="H72" s="134" t="s">
        <v>14</v>
      </c>
      <c r="I72" s="43" t="s">
        <v>14</v>
      </c>
      <c r="J72" s="43" t="s">
        <v>14</v>
      </c>
      <c r="K72" s="43" t="s">
        <v>14</v>
      </c>
      <c r="L72" s="43" t="s">
        <v>14</v>
      </c>
      <c r="M72" s="43" t="s">
        <v>14</v>
      </c>
      <c r="N72" s="43" t="s">
        <v>14</v>
      </c>
      <c r="O72" s="43" t="s">
        <v>14</v>
      </c>
      <c r="P72" s="43" t="s">
        <v>14</v>
      </c>
      <c r="Q72" s="43" t="s">
        <v>14</v>
      </c>
      <c r="R72" s="43" t="s">
        <v>14</v>
      </c>
      <c r="S72" s="43" t="s">
        <v>14</v>
      </c>
      <c r="T72" s="43" t="s">
        <v>14</v>
      </c>
      <c r="U72" s="43" t="s">
        <v>14</v>
      </c>
    </row>
    <row r="73" spans="1:21" s="26" customFormat="1" ht="12.6" customHeight="1">
      <c r="A73" s="73" t="s">
        <v>172</v>
      </c>
      <c r="B73" s="46" t="s">
        <v>572</v>
      </c>
      <c r="C73" s="9">
        <v>18</v>
      </c>
      <c r="D73" s="10">
        <v>3.5</v>
      </c>
      <c r="E73" s="50">
        <v>28.8</v>
      </c>
      <c r="F73" s="9" t="s">
        <v>173</v>
      </c>
      <c r="G73" s="75">
        <v>0.25</v>
      </c>
      <c r="H73" s="76">
        <v>0.25</v>
      </c>
      <c r="I73" s="9">
        <v>42</v>
      </c>
      <c r="J73" s="9">
        <v>62</v>
      </c>
      <c r="K73" s="10" t="s">
        <v>482</v>
      </c>
      <c r="L73" s="65">
        <f>AVERAGE(422,669,639,659,639,722,609,649,650)</f>
        <v>628.66666666666663</v>
      </c>
      <c r="M73" s="25" t="s">
        <v>1171</v>
      </c>
      <c r="N73" s="65">
        <f>AVERAGE(820,820,899,890,979,1006,879,995)</f>
        <v>911</v>
      </c>
      <c r="O73" s="118" t="s">
        <v>1059</v>
      </c>
      <c r="P73" s="65">
        <v>750</v>
      </c>
      <c r="Q73" s="25" t="s">
        <v>964</v>
      </c>
      <c r="R73" s="50" t="s">
        <v>400</v>
      </c>
      <c r="S73" s="65">
        <v>1300</v>
      </c>
      <c r="T73" s="25" t="s">
        <v>639</v>
      </c>
      <c r="U73" s="50" t="s">
        <v>400</v>
      </c>
    </row>
    <row r="74" spans="1:21" ht="12.6" customHeight="1">
      <c r="A74" s="73" t="s">
        <v>172</v>
      </c>
      <c r="B74" s="73" t="s">
        <v>571</v>
      </c>
      <c r="C74" s="9">
        <v>21</v>
      </c>
      <c r="D74" s="10">
        <v>2</v>
      </c>
      <c r="E74" s="9">
        <v>33.6</v>
      </c>
      <c r="F74" s="64" t="s">
        <v>173</v>
      </c>
      <c r="G74" s="75">
        <v>0.2</v>
      </c>
      <c r="H74" s="76">
        <v>0.25</v>
      </c>
      <c r="I74" s="9">
        <v>43.5</v>
      </c>
      <c r="J74" s="9">
        <v>60</v>
      </c>
      <c r="K74" s="50">
        <v>55</v>
      </c>
      <c r="L74" s="65">
        <f>AVERAGE(0)</f>
        <v>0</v>
      </c>
      <c r="M74" s="66" t="s">
        <v>14</v>
      </c>
      <c r="N74" s="9">
        <f>AVERAGE(828,700,627)</f>
        <v>718.33333333333337</v>
      </c>
      <c r="O74" s="10" t="s">
        <v>944</v>
      </c>
      <c r="P74" s="65">
        <v>900</v>
      </c>
      <c r="Q74" s="10" t="s">
        <v>595</v>
      </c>
      <c r="R74" s="50" t="s">
        <v>30</v>
      </c>
      <c r="S74" s="65">
        <v>1170</v>
      </c>
      <c r="T74" s="10" t="s">
        <v>595</v>
      </c>
      <c r="U74" s="50" t="s">
        <v>28</v>
      </c>
    </row>
    <row r="75" spans="1:21" ht="12.6" customHeight="1">
      <c r="A75" s="73" t="s">
        <v>172</v>
      </c>
      <c r="B75" s="73" t="s">
        <v>570</v>
      </c>
      <c r="C75" s="9">
        <v>21</v>
      </c>
      <c r="D75" s="10">
        <v>3.5</v>
      </c>
      <c r="E75" s="9">
        <v>33.6</v>
      </c>
      <c r="F75" s="64" t="s">
        <v>173</v>
      </c>
      <c r="G75" s="75">
        <v>0.2</v>
      </c>
      <c r="H75" s="76">
        <v>0.18</v>
      </c>
      <c r="I75" s="9">
        <v>31</v>
      </c>
      <c r="J75" s="9">
        <v>59</v>
      </c>
      <c r="K75" s="50">
        <v>49</v>
      </c>
      <c r="L75" s="65">
        <f>AVERAGE(300,340,279,252,300,298,328,353,300,338,340)</f>
        <v>311.63636363636363</v>
      </c>
      <c r="M75" s="66" t="s">
        <v>1061</v>
      </c>
      <c r="N75" s="9">
        <f>AVERAGE(344,379,440,400,402,396,409,438,455,478,399,405)</f>
        <v>412.08333333333331</v>
      </c>
      <c r="O75" s="10" t="s">
        <v>924</v>
      </c>
      <c r="P75" s="65">
        <v>328</v>
      </c>
      <c r="Q75" s="10" t="s">
        <v>964</v>
      </c>
      <c r="R75" s="50" t="s">
        <v>30</v>
      </c>
      <c r="S75" s="65">
        <v>600</v>
      </c>
      <c r="T75" s="10" t="s">
        <v>892</v>
      </c>
      <c r="U75" s="50" t="s">
        <v>400</v>
      </c>
    </row>
    <row r="76" spans="1:21" ht="12.6" customHeight="1">
      <c r="A76" s="73" t="s">
        <v>172</v>
      </c>
      <c r="B76" s="73" t="s">
        <v>820</v>
      </c>
      <c r="C76" s="9">
        <v>24</v>
      </c>
      <c r="D76" s="10">
        <v>2</v>
      </c>
      <c r="E76" s="9">
        <v>38.4</v>
      </c>
      <c r="F76" s="64" t="s">
        <v>173</v>
      </c>
      <c r="G76" s="75">
        <v>0.25</v>
      </c>
      <c r="H76" s="76">
        <v>0.28000000000000003</v>
      </c>
      <c r="I76" s="9">
        <v>48</v>
      </c>
      <c r="J76" s="9">
        <v>60</v>
      </c>
      <c r="K76" s="50">
        <v>55</v>
      </c>
      <c r="L76" s="65">
        <f>AVERAGE(300,265,328,320,270,359,379,275,256,345,315,340,309)</f>
        <v>312.38461538461536</v>
      </c>
      <c r="M76" s="66" t="s">
        <v>1002</v>
      </c>
      <c r="N76" s="9">
        <f>AVERAGE(445,530,564,575,695,585,525)</f>
        <v>559.85714285714289</v>
      </c>
      <c r="O76" s="10" t="s">
        <v>817</v>
      </c>
      <c r="P76" s="65">
        <v>325</v>
      </c>
      <c r="Q76" s="10" t="s">
        <v>999</v>
      </c>
      <c r="R76" s="50" t="s">
        <v>26</v>
      </c>
      <c r="S76" s="65">
        <v>850</v>
      </c>
      <c r="T76" s="10" t="s">
        <v>892</v>
      </c>
      <c r="U76" s="50" t="s">
        <v>400</v>
      </c>
    </row>
    <row r="77" spans="1:21" ht="12.6" customHeight="1">
      <c r="A77" s="73" t="s">
        <v>172</v>
      </c>
      <c r="B77" s="73" t="s">
        <v>821</v>
      </c>
      <c r="C77" s="9">
        <v>24</v>
      </c>
      <c r="D77" s="10">
        <v>2.8</v>
      </c>
      <c r="E77" s="9">
        <v>38.4</v>
      </c>
      <c r="F77" s="64" t="s">
        <v>173</v>
      </c>
      <c r="G77" s="75">
        <v>0.25</v>
      </c>
      <c r="H77" s="76">
        <v>0.18</v>
      </c>
      <c r="I77" s="9">
        <v>31</v>
      </c>
      <c r="J77" s="9">
        <v>59</v>
      </c>
      <c r="K77" s="50">
        <v>49</v>
      </c>
      <c r="L77" s="65">
        <f>AVERAGE(130,123,130,104,110,120,135,135,135,130,128,128,125)</f>
        <v>125.61538461538461</v>
      </c>
      <c r="M77" s="66" t="s">
        <v>1171</v>
      </c>
      <c r="N77" s="9">
        <f>AVERAGE(244,199,180,198,238,178,230,150,178)</f>
        <v>199.44444444444446</v>
      </c>
      <c r="O77" s="10" t="s">
        <v>1171</v>
      </c>
      <c r="P77" s="65">
        <v>135</v>
      </c>
      <c r="Q77" s="10" t="s">
        <v>1153</v>
      </c>
      <c r="R77" s="50" t="s">
        <v>26</v>
      </c>
      <c r="S77" s="65">
        <v>300</v>
      </c>
      <c r="T77" s="10" t="s">
        <v>892</v>
      </c>
      <c r="U77" s="50" t="s">
        <v>400</v>
      </c>
    </row>
    <row r="78" spans="1:21" ht="12.6" customHeight="1">
      <c r="A78" s="73" t="s">
        <v>172</v>
      </c>
      <c r="B78" s="73" t="s">
        <v>627</v>
      </c>
      <c r="C78" s="9">
        <v>24</v>
      </c>
      <c r="D78" s="10">
        <v>3.5</v>
      </c>
      <c r="E78" s="9">
        <v>38.4</v>
      </c>
      <c r="F78" s="64" t="s">
        <v>173</v>
      </c>
      <c r="G78" s="75">
        <v>0.35</v>
      </c>
      <c r="H78" s="76">
        <v>0.51</v>
      </c>
      <c r="I78" s="9">
        <v>75</v>
      </c>
      <c r="J78" s="9">
        <v>84</v>
      </c>
      <c r="K78" s="50" t="s">
        <v>85</v>
      </c>
      <c r="L78" s="65">
        <f>AVERAGE(770,710,595,725,787)</f>
        <v>717.4</v>
      </c>
      <c r="M78" s="66" t="s">
        <v>817</v>
      </c>
      <c r="N78" s="9">
        <f>AVERAGE(900,899,1175,1099,1045)</f>
        <v>1023.6</v>
      </c>
      <c r="O78" s="10" t="s">
        <v>874</v>
      </c>
      <c r="P78" s="65">
        <v>1850</v>
      </c>
      <c r="Q78" s="10" t="s">
        <v>892</v>
      </c>
      <c r="R78" s="50" t="s">
        <v>400</v>
      </c>
      <c r="S78" s="65">
        <v>2500</v>
      </c>
      <c r="T78" s="10" t="s">
        <v>892</v>
      </c>
      <c r="U78" s="50" t="s">
        <v>400</v>
      </c>
    </row>
    <row r="79" spans="1:21" ht="12.6" customHeight="1">
      <c r="A79" s="73" t="s">
        <v>172</v>
      </c>
      <c r="B79" s="73" t="s">
        <v>818</v>
      </c>
      <c r="C79" s="9">
        <v>28</v>
      </c>
      <c r="D79" s="10">
        <v>2</v>
      </c>
      <c r="E79" s="9">
        <f>C79*1.6</f>
        <v>44.800000000000004</v>
      </c>
      <c r="F79" s="64" t="s">
        <v>173</v>
      </c>
      <c r="G79" s="75">
        <v>0.3</v>
      </c>
      <c r="H79" s="76">
        <v>0.245</v>
      </c>
      <c r="I79" s="9">
        <v>43</v>
      </c>
      <c r="J79" s="9">
        <v>60</v>
      </c>
      <c r="K79" s="50">
        <v>49</v>
      </c>
      <c r="L79" s="65">
        <f>AVERAGE(249,199,279,175,164,185)</f>
        <v>208.5</v>
      </c>
      <c r="M79" s="66" t="s">
        <v>952</v>
      </c>
      <c r="N79" s="9">
        <f>AVERAGE(394,280,300,399,349,256,249,349,249,218,279,279,298)</f>
        <v>299.92307692307691</v>
      </c>
      <c r="O79" s="10" t="s">
        <v>1171</v>
      </c>
      <c r="P79" s="65">
        <v>250</v>
      </c>
      <c r="Q79" s="10" t="s">
        <v>1153</v>
      </c>
      <c r="R79" s="50" t="s">
        <v>31</v>
      </c>
      <c r="S79" s="79">
        <v>500</v>
      </c>
      <c r="T79" s="10" t="s">
        <v>892</v>
      </c>
      <c r="U79" s="66" t="s">
        <v>400</v>
      </c>
    </row>
    <row r="80" spans="1:21" s="26" customFormat="1" ht="12.6" customHeight="1">
      <c r="A80" s="73" t="s">
        <v>172</v>
      </c>
      <c r="B80" s="46" t="s">
        <v>819</v>
      </c>
      <c r="C80" s="9">
        <v>28</v>
      </c>
      <c r="D80" s="10">
        <v>2.8</v>
      </c>
      <c r="E80" s="50">
        <f>C80*1.6</f>
        <v>44.800000000000004</v>
      </c>
      <c r="F80" s="9" t="s">
        <v>173</v>
      </c>
      <c r="G80" s="75">
        <v>0.3</v>
      </c>
      <c r="H80" s="76">
        <v>0.17</v>
      </c>
      <c r="I80" s="9">
        <v>32</v>
      </c>
      <c r="J80" s="9">
        <v>60</v>
      </c>
      <c r="K80" s="10">
        <v>49</v>
      </c>
      <c r="L80" s="65">
        <f>AVERAGE(66,48,49,56)</f>
        <v>54.75</v>
      </c>
      <c r="M80" s="25" t="s">
        <v>874</v>
      </c>
      <c r="N80" s="65">
        <f>AVERAGE(140,127,105,110,105)</f>
        <v>117.4</v>
      </c>
      <c r="O80" s="118" t="s">
        <v>1171</v>
      </c>
      <c r="P80" s="65">
        <v>120</v>
      </c>
      <c r="Q80" s="25" t="s">
        <v>1061</v>
      </c>
      <c r="R80" s="50" t="s">
        <v>30</v>
      </c>
      <c r="S80" s="65">
        <v>140</v>
      </c>
      <c r="T80" s="25" t="s">
        <v>918</v>
      </c>
      <c r="U80" s="50" t="s">
        <v>30</v>
      </c>
    </row>
    <row r="81" spans="1:21" ht="12.6" customHeight="1">
      <c r="A81" s="67" t="s">
        <v>172</v>
      </c>
      <c r="B81" s="67" t="s">
        <v>822</v>
      </c>
      <c r="C81" s="36">
        <v>35</v>
      </c>
      <c r="D81" s="71">
        <v>2.8</v>
      </c>
      <c r="E81" s="36">
        <v>56</v>
      </c>
      <c r="F81" s="69" t="s">
        <v>173</v>
      </c>
      <c r="G81" s="59">
        <v>0.3</v>
      </c>
      <c r="H81" s="40">
        <v>0.31</v>
      </c>
      <c r="I81" s="36">
        <v>58</v>
      </c>
      <c r="J81" s="36">
        <v>68</v>
      </c>
      <c r="K81" s="52">
        <v>49</v>
      </c>
      <c r="L81" s="36">
        <f>AVERAGE(185,318,205,340,299,261,228,332,288,300,330,299)</f>
        <v>282.08333333333331</v>
      </c>
      <c r="M81" s="36" t="s">
        <v>1061</v>
      </c>
      <c r="N81" s="61">
        <f>AVERAGE(350,346,346,447,338)</f>
        <v>365.4</v>
      </c>
      <c r="O81" s="36" t="s">
        <v>925</v>
      </c>
      <c r="P81" s="61">
        <v>300</v>
      </c>
      <c r="Q81" s="36" t="s">
        <v>1153</v>
      </c>
      <c r="R81" s="52" t="s">
        <v>30</v>
      </c>
      <c r="S81" s="61">
        <v>395</v>
      </c>
      <c r="T81" s="36" t="s">
        <v>999</v>
      </c>
      <c r="U81" s="52" t="s">
        <v>26</v>
      </c>
    </row>
    <row r="82" spans="1:21" ht="12.6" customHeight="1">
      <c r="A82" s="73" t="s">
        <v>172</v>
      </c>
      <c r="B82" s="73" t="s">
        <v>492</v>
      </c>
      <c r="C82" s="9">
        <v>40</v>
      </c>
      <c r="D82" s="10">
        <v>2</v>
      </c>
      <c r="E82" s="9">
        <f>C82*1.6</f>
        <v>64</v>
      </c>
      <c r="F82" s="64" t="s">
        <v>173</v>
      </c>
      <c r="G82" s="75">
        <v>0.3</v>
      </c>
      <c r="H82" s="76">
        <v>0.14000000000000001</v>
      </c>
      <c r="I82" s="9">
        <v>25</v>
      </c>
      <c r="J82" s="9">
        <v>60</v>
      </c>
      <c r="K82" s="50">
        <v>49</v>
      </c>
      <c r="L82" s="77">
        <f>AVERAGE(369,210,300,400,321)</f>
        <v>320</v>
      </c>
      <c r="M82" s="78" t="s">
        <v>723</v>
      </c>
      <c r="N82" s="77">
        <f>AVERAGE(456,424,369,470,513,419)</f>
        <v>441.83333333333331</v>
      </c>
      <c r="O82" s="78" t="s">
        <v>723</v>
      </c>
      <c r="P82" s="65">
        <v>415</v>
      </c>
      <c r="Q82" s="9" t="s">
        <v>521</v>
      </c>
      <c r="R82" s="50" t="s">
        <v>28</v>
      </c>
      <c r="S82" s="65">
        <v>450</v>
      </c>
      <c r="T82" s="9" t="s">
        <v>502</v>
      </c>
      <c r="U82" s="50" t="s">
        <v>26</v>
      </c>
    </row>
    <row r="83" spans="1:21" ht="12.6" customHeight="1">
      <c r="A83" s="73" t="s">
        <v>172</v>
      </c>
      <c r="B83" s="73" t="s">
        <v>402</v>
      </c>
      <c r="C83" s="9">
        <v>50</v>
      </c>
      <c r="D83" s="10">
        <v>1.2</v>
      </c>
      <c r="E83" s="9">
        <v>80</v>
      </c>
      <c r="F83" s="64" t="s">
        <v>173</v>
      </c>
      <c r="G83" s="75">
        <v>0.45</v>
      </c>
      <c r="H83" s="76">
        <v>0.28499999999999998</v>
      </c>
      <c r="I83" s="9">
        <v>43</v>
      </c>
      <c r="J83" s="9">
        <v>65</v>
      </c>
      <c r="K83" s="50">
        <v>49</v>
      </c>
      <c r="L83" s="65">
        <f>AVERAGE(363,350,360,430,326,397,356,355,366,399,368,420,380,410)</f>
        <v>377.14285714285717</v>
      </c>
      <c r="M83" s="66" t="s">
        <v>1153</v>
      </c>
      <c r="N83" s="65">
        <f>AVERAGE(434,450,449,455,459,459,506,411,418,509,479)</f>
        <v>457.18181818181819</v>
      </c>
      <c r="O83" s="66" t="s">
        <v>1153</v>
      </c>
      <c r="P83" s="65">
        <v>590</v>
      </c>
      <c r="Q83" s="10" t="s">
        <v>964</v>
      </c>
      <c r="R83" s="50" t="s">
        <v>31</v>
      </c>
      <c r="S83" s="65">
        <v>800</v>
      </c>
      <c r="T83" s="10" t="s">
        <v>964</v>
      </c>
      <c r="U83" s="50" t="s">
        <v>400</v>
      </c>
    </row>
    <row r="84" spans="1:21" s="26" customFormat="1" ht="12.6" customHeight="1">
      <c r="A84" s="73" t="s">
        <v>172</v>
      </c>
      <c r="B84" s="46" t="s">
        <v>1122</v>
      </c>
      <c r="C84" s="9">
        <v>50</v>
      </c>
      <c r="D84" s="10">
        <v>1.4</v>
      </c>
      <c r="E84" s="50">
        <v>80</v>
      </c>
      <c r="F84" s="9" t="s">
        <v>173</v>
      </c>
      <c r="G84" s="75" t="s">
        <v>14</v>
      </c>
      <c r="H84" s="76" t="s">
        <v>14</v>
      </c>
      <c r="I84" s="9" t="s">
        <v>14</v>
      </c>
      <c r="J84" s="9" t="s">
        <v>14</v>
      </c>
      <c r="K84" s="10" t="s">
        <v>14</v>
      </c>
      <c r="L84" s="65" t="s">
        <v>14</v>
      </c>
      <c r="M84" s="25" t="s">
        <v>14</v>
      </c>
      <c r="N84" s="65" t="s">
        <v>14</v>
      </c>
      <c r="O84" s="118" t="s">
        <v>14</v>
      </c>
      <c r="P84" s="65" t="s">
        <v>14</v>
      </c>
      <c r="Q84" s="25" t="s">
        <v>14</v>
      </c>
      <c r="R84" s="50" t="s">
        <v>14</v>
      </c>
      <c r="S84" s="65" t="s">
        <v>14</v>
      </c>
      <c r="T84" s="25" t="s">
        <v>14</v>
      </c>
      <c r="U84" s="50" t="s">
        <v>14</v>
      </c>
    </row>
    <row r="85" spans="1:21" s="26" customFormat="1" ht="12.6" customHeight="1">
      <c r="A85" s="73" t="s">
        <v>172</v>
      </c>
      <c r="B85" s="46" t="s">
        <v>520</v>
      </c>
      <c r="C85" s="9">
        <v>50</v>
      </c>
      <c r="D85" s="10">
        <v>1.8</v>
      </c>
      <c r="E85" s="50">
        <v>80</v>
      </c>
      <c r="F85" s="9" t="s">
        <v>173</v>
      </c>
      <c r="G85" s="75">
        <v>0.45</v>
      </c>
      <c r="H85" s="76">
        <v>0.17</v>
      </c>
      <c r="I85" s="9">
        <v>31</v>
      </c>
      <c r="J85" s="9">
        <v>61</v>
      </c>
      <c r="K85" s="10">
        <v>49</v>
      </c>
      <c r="L85" s="65">
        <f>AVERAGE(0)</f>
        <v>0</v>
      </c>
      <c r="M85" s="25" t="s">
        <v>14</v>
      </c>
      <c r="N85" s="65">
        <f>AVERAGE(149)</f>
        <v>149</v>
      </c>
      <c r="O85" s="118" t="s">
        <v>723</v>
      </c>
      <c r="P85" s="65">
        <v>56</v>
      </c>
      <c r="Q85" s="25" t="s">
        <v>964</v>
      </c>
      <c r="R85" s="50" t="s">
        <v>28</v>
      </c>
      <c r="S85" s="65">
        <v>85</v>
      </c>
      <c r="T85" s="25" t="s">
        <v>639</v>
      </c>
      <c r="U85" s="50" t="s">
        <v>30</v>
      </c>
    </row>
    <row r="86" spans="1:21" ht="12.6" customHeight="1">
      <c r="A86" s="73" t="s">
        <v>172</v>
      </c>
      <c r="B86" s="73" t="s">
        <v>527</v>
      </c>
      <c r="C86" s="9">
        <v>55</v>
      </c>
      <c r="D86" s="10">
        <v>1.2</v>
      </c>
      <c r="E86" s="9">
        <v>80</v>
      </c>
      <c r="F86" s="64" t="s">
        <v>173</v>
      </c>
      <c r="G86" s="75">
        <v>0.45</v>
      </c>
      <c r="H86" s="76">
        <v>0.31</v>
      </c>
      <c r="I86" s="9">
        <v>47</v>
      </c>
      <c r="J86" s="9">
        <v>65</v>
      </c>
      <c r="K86" s="50">
        <v>49</v>
      </c>
      <c r="L86" s="65">
        <f>AVERAGE(295,250,225,225,333,338,290,349,323,280,249,257)</f>
        <v>284.5</v>
      </c>
      <c r="M86" s="66" t="s">
        <v>1171</v>
      </c>
      <c r="N86" s="65">
        <f>AVERAGE(397,390,428,400,340,355,390,397,425)</f>
        <v>391.33333333333331</v>
      </c>
      <c r="O86" s="66" t="s">
        <v>874</v>
      </c>
      <c r="P86" s="65">
        <f>369*CA.US</f>
        <v>280.44</v>
      </c>
      <c r="Q86" s="10" t="s">
        <v>1061</v>
      </c>
      <c r="R86" s="50" t="s">
        <v>537</v>
      </c>
      <c r="S86" s="65">
        <v>395</v>
      </c>
      <c r="T86" s="10" t="s">
        <v>1153</v>
      </c>
      <c r="U86" s="50" t="s">
        <v>26</v>
      </c>
    </row>
    <row r="87" spans="1:21" ht="12.6" customHeight="1">
      <c r="A87" s="73" t="s">
        <v>172</v>
      </c>
      <c r="B87" s="73" t="s">
        <v>526</v>
      </c>
      <c r="C87" s="9">
        <v>85</v>
      </c>
      <c r="D87" s="10">
        <v>2</v>
      </c>
      <c r="E87" s="9">
        <f>C87*1.6</f>
        <v>136</v>
      </c>
      <c r="F87" s="64" t="s">
        <v>173</v>
      </c>
      <c r="G87" s="75">
        <v>0.85</v>
      </c>
      <c r="H87" s="76">
        <v>0.26</v>
      </c>
      <c r="I87" s="9">
        <v>48</v>
      </c>
      <c r="J87" s="9">
        <v>60</v>
      </c>
      <c r="K87" s="50">
        <v>49</v>
      </c>
      <c r="L87" s="65">
        <f>AVERAGE(195,264,163,240,238,202,180,230,180,189,203,243,258)</f>
        <v>214.23076923076923</v>
      </c>
      <c r="M87" s="66" t="s">
        <v>1171</v>
      </c>
      <c r="N87" s="65">
        <f>AVERAGE(279,416,350,350,354,259,350,338,389,335,368,348,398)</f>
        <v>348.76923076923077</v>
      </c>
      <c r="O87" s="66" t="s">
        <v>1153</v>
      </c>
      <c r="P87" s="65">
        <v>367</v>
      </c>
      <c r="Q87" s="10" t="s">
        <v>681</v>
      </c>
      <c r="R87" s="50" t="s">
        <v>28</v>
      </c>
      <c r="S87" s="65">
        <v>245</v>
      </c>
      <c r="T87" s="10" t="s">
        <v>619</v>
      </c>
      <c r="U87" s="50" t="s">
        <v>26</v>
      </c>
    </row>
    <row r="88" spans="1:21" s="26" customFormat="1" ht="12.6" customHeight="1">
      <c r="A88" s="67" t="s">
        <v>172</v>
      </c>
      <c r="B88" s="67" t="s">
        <v>464</v>
      </c>
      <c r="C88" s="71">
        <v>90</v>
      </c>
      <c r="D88" s="71">
        <v>2</v>
      </c>
      <c r="E88" s="36">
        <v>144</v>
      </c>
      <c r="F88" s="72" t="s">
        <v>173</v>
      </c>
      <c r="G88" s="59">
        <v>0.4</v>
      </c>
      <c r="H88" s="40">
        <v>0.55000000000000004</v>
      </c>
      <c r="I88" s="36">
        <v>71</v>
      </c>
      <c r="J88" s="36">
        <v>72</v>
      </c>
      <c r="K88" s="36">
        <v>55</v>
      </c>
      <c r="L88" s="61">
        <f>AVERAGE(650,549,528,719,670,695,699,702,825,685)</f>
        <v>672.2</v>
      </c>
      <c r="M88" s="68" t="s">
        <v>1153</v>
      </c>
      <c r="N88" s="61">
        <f>AVERAGE(918,846,950,1080,1060,1012,1048,966,998,998)</f>
        <v>987.6</v>
      </c>
      <c r="O88" s="68" t="s">
        <v>892</v>
      </c>
      <c r="P88" s="61">
        <v>880</v>
      </c>
      <c r="Q88" s="68" t="s">
        <v>964</v>
      </c>
      <c r="R88" s="36" t="s">
        <v>28</v>
      </c>
      <c r="S88" s="61" t="s">
        <v>14</v>
      </c>
      <c r="T88" s="68" t="s">
        <v>14</v>
      </c>
      <c r="U88" s="52" t="s">
        <v>14</v>
      </c>
    </row>
    <row r="89" spans="1:21" s="26" customFormat="1" ht="12.6" customHeight="1">
      <c r="A89" s="73" t="s">
        <v>172</v>
      </c>
      <c r="B89" s="73" t="s">
        <v>508</v>
      </c>
      <c r="C89" s="10">
        <v>100</v>
      </c>
      <c r="D89" s="10">
        <v>2</v>
      </c>
      <c r="E89" s="9">
        <v>160</v>
      </c>
      <c r="F89" s="74" t="s">
        <v>173</v>
      </c>
      <c r="G89" s="75">
        <v>0.7</v>
      </c>
      <c r="H89" s="76">
        <v>0.52</v>
      </c>
      <c r="I89" s="9">
        <v>72</v>
      </c>
      <c r="J89" s="9">
        <v>70</v>
      </c>
      <c r="K89" s="9">
        <v>55</v>
      </c>
      <c r="L89" s="65">
        <f>AVERAGE(700,510,668,770,680,660,476,469,475,600,560,740,665)</f>
        <v>613.30769230769226</v>
      </c>
      <c r="M89" s="25" t="s">
        <v>1171</v>
      </c>
      <c r="N89" s="65">
        <f>AVERAGE(780,820,928,898,992,900)</f>
        <v>886.33333333333337</v>
      </c>
      <c r="O89" s="25" t="s">
        <v>1171</v>
      </c>
      <c r="P89" s="65">
        <f>889*CA.US</f>
        <v>675.64</v>
      </c>
      <c r="Q89" s="25" t="s">
        <v>814</v>
      </c>
      <c r="R89" s="9" t="s">
        <v>537</v>
      </c>
      <c r="S89" s="65" t="s">
        <v>14</v>
      </c>
      <c r="T89" s="25" t="s">
        <v>14</v>
      </c>
      <c r="U89" s="50" t="s">
        <v>14</v>
      </c>
    </row>
    <row r="90" spans="1:21" s="26" customFormat="1" ht="12.6" customHeight="1">
      <c r="A90" s="73" t="s">
        <v>172</v>
      </c>
      <c r="B90" s="46" t="s">
        <v>831</v>
      </c>
      <c r="C90" s="9">
        <v>135</v>
      </c>
      <c r="D90" s="10">
        <v>3.5</v>
      </c>
      <c r="E90" s="50">
        <f>C90*1.6</f>
        <v>216</v>
      </c>
      <c r="F90" s="9" t="s">
        <v>173</v>
      </c>
      <c r="G90" s="75">
        <v>1.5</v>
      </c>
      <c r="H90" s="76">
        <v>0.28999999999999998</v>
      </c>
      <c r="I90" s="9">
        <v>73.099999999999994</v>
      </c>
      <c r="J90" s="9">
        <v>60.5</v>
      </c>
      <c r="K90" s="10">
        <v>49</v>
      </c>
      <c r="L90" s="65">
        <f>AVERAGE(55,50,32,26,25,37)</f>
        <v>37.5</v>
      </c>
      <c r="M90" s="25" t="s">
        <v>1091</v>
      </c>
      <c r="N90" s="65">
        <f>AVERAGE(100,50,60,55,48,60)</f>
        <v>62.166666666666664</v>
      </c>
      <c r="O90" s="118" t="s">
        <v>1091</v>
      </c>
      <c r="P90" s="65">
        <v>80</v>
      </c>
      <c r="Q90" s="25" t="s">
        <v>918</v>
      </c>
      <c r="R90" s="50" t="s">
        <v>30</v>
      </c>
      <c r="S90" s="65" t="s">
        <v>14</v>
      </c>
      <c r="T90" s="25" t="s">
        <v>14</v>
      </c>
      <c r="U90" s="50" t="s">
        <v>14</v>
      </c>
    </row>
    <row r="91" spans="1:21" ht="12.6" customHeight="1">
      <c r="A91" s="73" t="s">
        <v>172</v>
      </c>
      <c r="B91" s="73" t="s">
        <v>525</v>
      </c>
      <c r="C91" s="9">
        <v>135</v>
      </c>
      <c r="D91" s="10">
        <v>4.5</v>
      </c>
      <c r="E91" s="9">
        <f>1.6*C91</f>
        <v>216</v>
      </c>
      <c r="F91" s="64" t="s">
        <v>173</v>
      </c>
      <c r="G91" s="75" t="s">
        <v>29</v>
      </c>
      <c r="H91" s="76">
        <v>0.32</v>
      </c>
      <c r="I91" s="9">
        <v>47</v>
      </c>
      <c r="J91" s="9">
        <v>60</v>
      </c>
      <c r="K91" s="50">
        <v>55</v>
      </c>
      <c r="L91" s="65">
        <f>AVERAGE(140,150,178,128,119,117,195,225,230,155,200)</f>
        <v>167</v>
      </c>
      <c r="M91" s="50" t="s">
        <v>1061</v>
      </c>
      <c r="N91" s="9">
        <f>AVERAGE(250,260,289,268,307,292,350,360,300)</f>
        <v>297.33333333333331</v>
      </c>
      <c r="O91" s="10" t="s">
        <v>1153</v>
      </c>
      <c r="P91" s="65">
        <v>150</v>
      </c>
      <c r="Q91" s="10" t="s">
        <v>964</v>
      </c>
      <c r="R91" s="50" t="s">
        <v>28</v>
      </c>
      <c r="S91" s="65">
        <v>375</v>
      </c>
      <c r="T91" s="10" t="s">
        <v>964</v>
      </c>
      <c r="U91" s="50" t="s">
        <v>400</v>
      </c>
    </row>
    <row r="92" spans="1:21" ht="12.6" customHeight="1">
      <c r="A92" s="73" t="s">
        <v>172</v>
      </c>
      <c r="B92" s="73" t="s">
        <v>677</v>
      </c>
      <c r="C92" s="9">
        <v>180</v>
      </c>
      <c r="D92" s="10">
        <v>2</v>
      </c>
      <c r="E92" s="9">
        <v>288</v>
      </c>
      <c r="F92" s="64" t="s">
        <v>173</v>
      </c>
      <c r="G92" s="75">
        <v>1.58</v>
      </c>
      <c r="H92" s="76">
        <v>1.9</v>
      </c>
      <c r="I92" s="9">
        <v>173</v>
      </c>
      <c r="J92" s="9">
        <v>107</v>
      </c>
      <c r="K92" s="50">
        <v>100</v>
      </c>
      <c r="L92" s="65">
        <f>AVERAGE(3125,2900,2970,2500)</f>
        <v>2873.75</v>
      </c>
      <c r="M92" s="50" t="s">
        <v>874</v>
      </c>
      <c r="N92" s="9">
        <f>AVERAGE(7890,5453)</f>
        <v>6671.5</v>
      </c>
      <c r="O92" s="10" t="s">
        <v>639</v>
      </c>
      <c r="P92" s="65">
        <v>2300</v>
      </c>
      <c r="Q92" s="10" t="s">
        <v>542</v>
      </c>
      <c r="R92" s="50" t="s">
        <v>400</v>
      </c>
      <c r="S92" s="65" t="s">
        <v>14</v>
      </c>
      <c r="T92" s="10" t="s">
        <v>14</v>
      </c>
      <c r="U92" s="50" t="s">
        <v>14</v>
      </c>
    </row>
    <row r="93" spans="1:21" s="26" customFormat="1" ht="12.6" customHeight="1">
      <c r="A93" s="73" t="s">
        <v>172</v>
      </c>
      <c r="B93" s="46" t="s">
        <v>506</v>
      </c>
      <c r="C93" s="9">
        <v>200</v>
      </c>
      <c r="D93" s="10">
        <v>4</v>
      </c>
      <c r="E93" s="50">
        <v>288</v>
      </c>
      <c r="F93" s="9" t="s">
        <v>173</v>
      </c>
      <c r="G93" s="75">
        <v>2.5</v>
      </c>
      <c r="H93" s="76">
        <v>0.51</v>
      </c>
      <c r="I93" s="9">
        <v>127</v>
      </c>
      <c r="J93" s="9">
        <v>67</v>
      </c>
      <c r="K93" s="10">
        <v>55</v>
      </c>
      <c r="L93" s="65">
        <f>AVERAGE(75,109,100,109)</f>
        <v>98.25</v>
      </c>
      <c r="M93" s="25" t="s">
        <v>1091</v>
      </c>
      <c r="N93" s="65">
        <f>AVERAGE(104,175,179,165,179)</f>
        <v>160.4</v>
      </c>
      <c r="O93" s="118" t="s">
        <v>1091</v>
      </c>
      <c r="P93" s="65">
        <v>100</v>
      </c>
      <c r="Q93" s="25" t="s">
        <v>918</v>
      </c>
      <c r="R93" s="50" t="s">
        <v>30</v>
      </c>
      <c r="S93" s="65" t="s">
        <v>14</v>
      </c>
      <c r="T93" s="25" t="s">
        <v>14</v>
      </c>
      <c r="U93" s="50" t="s">
        <v>14</v>
      </c>
    </row>
    <row r="94" spans="1:21" ht="12.6" customHeight="1">
      <c r="A94" s="73" t="s">
        <v>172</v>
      </c>
      <c r="B94" s="73" t="s">
        <v>675</v>
      </c>
      <c r="C94" s="9">
        <v>250</v>
      </c>
      <c r="D94" s="10">
        <v>2</v>
      </c>
      <c r="E94" s="9">
        <v>400</v>
      </c>
      <c r="F94" s="64" t="s">
        <v>173</v>
      </c>
      <c r="G94" s="75">
        <v>2.2000000000000002</v>
      </c>
      <c r="H94" s="76">
        <v>3.9</v>
      </c>
      <c r="I94" s="9">
        <v>246</v>
      </c>
      <c r="J94" s="9">
        <v>142</v>
      </c>
      <c r="K94" s="50" t="s">
        <v>102</v>
      </c>
      <c r="L94" s="65">
        <f>AVERAGE(2900)</f>
        <v>2900</v>
      </c>
      <c r="M94" s="66" t="s">
        <v>817</v>
      </c>
      <c r="N94" s="9">
        <f>AVERAGE(7350)</f>
        <v>7350</v>
      </c>
      <c r="O94" s="10" t="s">
        <v>1171</v>
      </c>
      <c r="P94" s="65" t="s">
        <v>14</v>
      </c>
      <c r="Q94" s="10" t="s">
        <v>14</v>
      </c>
      <c r="R94" s="50" t="s">
        <v>14</v>
      </c>
      <c r="S94" s="65">
        <v>4500</v>
      </c>
      <c r="T94" s="10" t="s">
        <v>542</v>
      </c>
      <c r="U94" s="50" t="s">
        <v>400</v>
      </c>
    </row>
    <row r="95" spans="1:21" ht="12.6" customHeight="1">
      <c r="A95" s="67" t="s">
        <v>172</v>
      </c>
      <c r="B95" s="67" t="s">
        <v>676</v>
      </c>
      <c r="C95" s="36">
        <v>350</v>
      </c>
      <c r="D95" s="71">
        <v>2.8</v>
      </c>
      <c r="E95" s="36">
        <v>560</v>
      </c>
      <c r="F95" s="69" t="s">
        <v>173</v>
      </c>
      <c r="G95" s="59">
        <v>3</v>
      </c>
      <c r="H95" s="40">
        <v>3.9</v>
      </c>
      <c r="I95" s="36">
        <v>280</v>
      </c>
      <c r="J95" s="36">
        <v>142</v>
      </c>
      <c r="K95" s="52" t="s">
        <v>102</v>
      </c>
      <c r="L95" s="61">
        <f>AVERAGE(2000,1750,2100)</f>
        <v>1950</v>
      </c>
      <c r="M95" s="52" t="s">
        <v>972</v>
      </c>
      <c r="N95" s="36">
        <f>AVERAGE(2799,2799,3050)</f>
        <v>2882.6666666666665</v>
      </c>
      <c r="O95" s="36" t="s">
        <v>972</v>
      </c>
      <c r="P95" s="61">
        <v>2000</v>
      </c>
      <c r="Q95" s="36" t="s">
        <v>723</v>
      </c>
      <c r="R95" s="52" t="s">
        <v>30</v>
      </c>
      <c r="S95" s="61">
        <v>4200</v>
      </c>
      <c r="T95" s="36" t="s">
        <v>892</v>
      </c>
      <c r="U95" s="52" t="s">
        <v>400</v>
      </c>
    </row>
    <row r="96" spans="1:21" s="26" customFormat="1" ht="12.6" customHeight="1">
      <c r="A96" s="137" t="s">
        <v>322</v>
      </c>
      <c r="B96" s="130"/>
      <c r="C96" s="43" t="s">
        <v>14</v>
      </c>
      <c r="D96" s="131" t="s">
        <v>14</v>
      </c>
      <c r="E96" s="43" t="s">
        <v>14</v>
      </c>
      <c r="F96" s="135" t="s">
        <v>14</v>
      </c>
      <c r="G96" s="138" t="s">
        <v>14</v>
      </c>
      <c r="H96" s="134" t="s">
        <v>14</v>
      </c>
      <c r="I96" s="43" t="s">
        <v>14</v>
      </c>
      <c r="J96" s="43" t="s">
        <v>14</v>
      </c>
      <c r="K96" s="43" t="s">
        <v>14</v>
      </c>
      <c r="L96" s="43" t="s">
        <v>14</v>
      </c>
      <c r="M96" s="43" t="s">
        <v>14</v>
      </c>
      <c r="N96" s="43" t="s">
        <v>14</v>
      </c>
      <c r="O96" s="43" t="s">
        <v>14</v>
      </c>
      <c r="P96" s="43" t="s">
        <v>14</v>
      </c>
      <c r="Q96" s="43" t="s">
        <v>14</v>
      </c>
      <c r="R96" s="43" t="s">
        <v>14</v>
      </c>
      <c r="S96" s="43" t="s">
        <v>14</v>
      </c>
      <c r="T96" s="43" t="s">
        <v>14</v>
      </c>
      <c r="U96" s="43" t="s">
        <v>14</v>
      </c>
    </row>
    <row r="97" spans="1:21" s="26" customFormat="1" ht="12.6" customHeight="1">
      <c r="A97" s="26" t="s">
        <v>117</v>
      </c>
      <c r="B97" s="26" t="s">
        <v>1105</v>
      </c>
      <c r="C97" s="10">
        <v>15</v>
      </c>
      <c r="D97" s="10">
        <v>3.5</v>
      </c>
      <c r="E97" s="9">
        <f t="shared" ref="E97:E111" si="4">C97*1.6</f>
        <v>24</v>
      </c>
      <c r="F97" s="75" t="s">
        <v>115</v>
      </c>
      <c r="G97" s="75">
        <v>0.3</v>
      </c>
      <c r="H97" s="76">
        <v>0.55000000000000004</v>
      </c>
      <c r="I97" s="9">
        <v>82</v>
      </c>
      <c r="J97" s="9">
        <v>80</v>
      </c>
      <c r="K97" s="9" t="s">
        <v>85</v>
      </c>
      <c r="L97" s="77">
        <f>AVERAGE(650,709,620,599)</f>
        <v>644.5</v>
      </c>
      <c r="M97" s="187" t="s">
        <v>1091</v>
      </c>
      <c r="N97" s="9">
        <f>AVERAGE(945,850,975,933)</f>
        <v>925.75</v>
      </c>
      <c r="O97" s="10" t="s">
        <v>814</v>
      </c>
      <c r="P97" s="65">
        <v>800</v>
      </c>
      <c r="Q97" s="10" t="s">
        <v>723</v>
      </c>
      <c r="R97" s="9" t="s">
        <v>30</v>
      </c>
      <c r="S97" s="65" t="s">
        <v>14</v>
      </c>
      <c r="T97" s="10" t="s">
        <v>14</v>
      </c>
      <c r="U97" s="50" t="s">
        <v>14</v>
      </c>
    </row>
    <row r="98" spans="1:21" s="26" customFormat="1" ht="12.6" customHeight="1">
      <c r="A98" s="73" t="s">
        <v>117</v>
      </c>
      <c r="B98" s="73" t="s">
        <v>1106</v>
      </c>
      <c r="C98" s="10">
        <v>15</v>
      </c>
      <c r="D98" s="10">
        <v>3.5</v>
      </c>
      <c r="E98" s="9">
        <f t="shared" si="4"/>
        <v>24</v>
      </c>
      <c r="F98" s="74" t="s">
        <v>115</v>
      </c>
      <c r="G98" s="75">
        <v>0.3</v>
      </c>
      <c r="H98" s="76">
        <v>0.6</v>
      </c>
      <c r="I98" s="9">
        <v>82</v>
      </c>
      <c r="J98" s="9">
        <v>80</v>
      </c>
      <c r="K98" s="9">
        <v>1</v>
      </c>
      <c r="L98" s="65">
        <f>AVERAGE(0)</f>
        <v>0</v>
      </c>
      <c r="M98" s="118" t="s">
        <v>14</v>
      </c>
      <c r="N98" s="65">
        <f>AVERAGE(799,795,776,1028,710,600,625,795,1000,750,650)</f>
        <v>775.27272727272725</v>
      </c>
      <c r="O98" s="25" t="s">
        <v>723</v>
      </c>
      <c r="P98" s="65">
        <v>425</v>
      </c>
      <c r="Q98" s="25" t="s">
        <v>925</v>
      </c>
      <c r="R98" s="9" t="s">
        <v>26</v>
      </c>
      <c r="S98" s="65">
        <v>1000</v>
      </c>
      <c r="T98" s="25" t="s">
        <v>639</v>
      </c>
      <c r="U98" s="50" t="s">
        <v>30</v>
      </c>
    </row>
    <row r="99" spans="1:21" s="26" customFormat="1" ht="12.6" customHeight="1">
      <c r="A99" s="73" t="s">
        <v>117</v>
      </c>
      <c r="B99" s="73" t="s">
        <v>229</v>
      </c>
      <c r="C99" s="10">
        <v>15</v>
      </c>
      <c r="D99" s="10">
        <v>3.5</v>
      </c>
      <c r="E99" s="9">
        <f t="shared" si="4"/>
        <v>24</v>
      </c>
      <c r="F99" s="74" t="s">
        <v>118</v>
      </c>
      <c r="G99" s="75">
        <v>0.3</v>
      </c>
      <c r="H99" s="76">
        <v>0.6</v>
      </c>
      <c r="I99" s="9">
        <v>82</v>
      </c>
      <c r="J99" s="9">
        <v>80</v>
      </c>
      <c r="K99" s="9" t="s">
        <v>85</v>
      </c>
      <c r="L99" s="65">
        <f>AVERAGE(550,700,655,600,811)</f>
        <v>663.2</v>
      </c>
      <c r="M99" s="118" t="s">
        <v>1153</v>
      </c>
      <c r="N99" s="65">
        <f>AVERAGE(1001,1195,1100,1330,945,949)</f>
        <v>1086.6666666666667</v>
      </c>
      <c r="O99" s="25" t="s">
        <v>452</v>
      </c>
      <c r="P99" s="65">
        <v>962</v>
      </c>
      <c r="Q99" s="25" t="s">
        <v>639</v>
      </c>
      <c r="R99" s="9" t="s">
        <v>28</v>
      </c>
      <c r="S99" s="65">
        <v>1000</v>
      </c>
      <c r="T99" s="25" t="s">
        <v>379</v>
      </c>
      <c r="U99" s="50" t="s">
        <v>30</v>
      </c>
    </row>
    <row r="100" spans="1:21" s="26" customFormat="1" ht="12.6" customHeight="1">
      <c r="A100" s="73" t="s">
        <v>117</v>
      </c>
      <c r="B100" s="73" t="s">
        <v>311</v>
      </c>
      <c r="C100" s="10">
        <v>16</v>
      </c>
      <c r="D100" s="10">
        <v>2.8</v>
      </c>
      <c r="E100" s="9">
        <f t="shared" si="4"/>
        <v>25.6</v>
      </c>
      <c r="F100" s="74" t="s">
        <v>118</v>
      </c>
      <c r="G100" s="75">
        <v>0.2</v>
      </c>
      <c r="H100" s="76">
        <v>0.32</v>
      </c>
      <c r="I100" s="9">
        <v>56</v>
      </c>
      <c r="J100" s="9">
        <v>65</v>
      </c>
      <c r="K100" s="9" t="s">
        <v>85</v>
      </c>
      <c r="L100" s="65">
        <f>AVERAGE(424,405,279,322)</f>
        <v>357.5</v>
      </c>
      <c r="M100" s="118" t="s">
        <v>723</v>
      </c>
      <c r="N100" s="65">
        <f>AVERAGE(580,603,600)</f>
        <v>594.33333333333337</v>
      </c>
      <c r="O100" s="25" t="s">
        <v>681</v>
      </c>
      <c r="P100" s="65">
        <v>560</v>
      </c>
      <c r="Q100" s="25" t="s">
        <v>681</v>
      </c>
      <c r="R100" s="9" t="s">
        <v>31</v>
      </c>
      <c r="S100" s="65" t="s">
        <v>14</v>
      </c>
      <c r="T100" s="25" t="s">
        <v>14</v>
      </c>
      <c r="U100" s="50" t="s">
        <v>14</v>
      </c>
    </row>
    <row r="101" spans="1:21" ht="12.6" customHeight="1">
      <c r="A101" s="67" t="s">
        <v>117</v>
      </c>
      <c r="B101" s="67" t="s">
        <v>312</v>
      </c>
      <c r="C101" s="36">
        <v>17</v>
      </c>
      <c r="D101" s="71">
        <v>4</v>
      </c>
      <c r="E101" s="36">
        <f t="shared" si="4"/>
        <v>27.200000000000003</v>
      </c>
      <c r="F101" s="69" t="s">
        <v>115</v>
      </c>
      <c r="G101" s="59">
        <v>0.2</v>
      </c>
      <c r="H101" s="40">
        <v>0.23499999999999999</v>
      </c>
      <c r="I101" s="36">
        <v>34</v>
      </c>
      <c r="J101" s="36">
        <v>65</v>
      </c>
      <c r="K101" s="36" t="s">
        <v>85</v>
      </c>
      <c r="L101" s="61">
        <f>AVERAGE(202,292,290,280,270,236,280,280)</f>
        <v>266.25</v>
      </c>
      <c r="M101" s="52" t="s">
        <v>954</v>
      </c>
      <c r="N101" s="61">
        <f>AVERAGE(315,358,320)</f>
        <v>331</v>
      </c>
      <c r="O101" s="36" t="s">
        <v>1091</v>
      </c>
      <c r="P101" s="61">
        <v>475</v>
      </c>
      <c r="Q101" s="36" t="s">
        <v>892</v>
      </c>
      <c r="R101" s="52" t="s">
        <v>400</v>
      </c>
      <c r="S101" s="61">
        <v>700</v>
      </c>
      <c r="T101" s="36" t="s">
        <v>892</v>
      </c>
      <c r="U101" s="52" t="s">
        <v>400</v>
      </c>
    </row>
    <row r="102" spans="1:21" s="26" customFormat="1" ht="12.6" customHeight="1">
      <c r="A102" s="73" t="s">
        <v>117</v>
      </c>
      <c r="B102" s="73" t="s">
        <v>155</v>
      </c>
      <c r="C102" s="10">
        <v>18</v>
      </c>
      <c r="D102" s="10">
        <v>3.5</v>
      </c>
      <c r="E102" s="9">
        <f t="shared" si="4"/>
        <v>28.8</v>
      </c>
      <c r="F102" s="74" t="s">
        <v>115</v>
      </c>
      <c r="G102" s="75">
        <v>0.25</v>
      </c>
      <c r="H102" s="76">
        <v>0.29499999999999998</v>
      </c>
      <c r="I102" s="9">
        <v>62</v>
      </c>
      <c r="J102" s="9">
        <v>63</v>
      </c>
      <c r="K102" s="9">
        <v>58</v>
      </c>
      <c r="L102" s="65">
        <f>AVERAGE(476,461,455,455,410)</f>
        <v>451.4</v>
      </c>
      <c r="M102" s="118" t="s">
        <v>874</v>
      </c>
      <c r="N102" s="65">
        <f>AVERAGE(759)</f>
        <v>759</v>
      </c>
      <c r="O102" s="25" t="s">
        <v>709</v>
      </c>
      <c r="P102" s="65">
        <v>900</v>
      </c>
      <c r="Q102" s="25" t="s">
        <v>892</v>
      </c>
      <c r="R102" s="9" t="s">
        <v>400</v>
      </c>
      <c r="S102" s="65">
        <v>1100</v>
      </c>
      <c r="T102" s="25" t="s">
        <v>892</v>
      </c>
      <c r="U102" s="50" t="s">
        <v>400</v>
      </c>
    </row>
    <row r="103" spans="1:21" s="26" customFormat="1" ht="12.6" customHeight="1">
      <c r="A103" s="26" t="s">
        <v>117</v>
      </c>
      <c r="B103" s="26" t="s">
        <v>189</v>
      </c>
      <c r="C103" s="10">
        <v>20</v>
      </c>
      <c r="D103" s="10">
        <v>2.8</v>
      </c>
      <c r="E103" s="9">
        <f t="shared" si="4"/>
        <v>32</v>
      </c>
      <c r="F103" s="75" t="s">
        <v>118</v>
      </c>
      <c r="G103" s="75">
        <v>0.25</v>
      </c>
      <c r="H103" s="76">
        <v>0.245</v>
      </c>
      <c r="I103" s="9">
        <v>43.5</v>
      </c>
      <c r="J103" s="9">
        <v>70</v>
      </c>
      <c r="K103" s="9">
        <v>67</v>
      </c>
      <c r="L103" s="65">
        <f>AVERAGE(438,345,439,355,443,400,378,375,400,352,430,417,403,481)</f>
        <v>404</v>
      </c>
      <c r="M103" s="66" t="s">
        <v>1153</v>
      </c>
      <c r="N103" s="9">
        <f>AVERAGE(539,500,512,500,599,428,475,484,538,695,650,485,589)</f>
        <v>538</v>
      </c>
      <c r="O103" s="66" t="s">
        <v>1118</v>
      </c>
      <c r="P103" s="79">
        <v>450</v>
      </c>
      <c r="Q103" s="10" t="s">
        <v>1061</v>
      </c>
      <c r="R103" s="50" t="s">
        <v>30</v>
      </c>
      <c r="S103" s="79">
        <v>648</v>
      </c>
      <c r="T103" s="25" t="s">
        <v>681</v>
      </c>
      <c r="U103" s="66" t="s">
        <v>28</v>
      </c>
    </row>
    <row r="104" spans="1:21" s="26" customFormat="1" ht="12.6" customHeight="1">
      <c r="A104" s="73" t="s">
        <v>117</v>
      </c>
      <c r="B104" s="73" t="s">
        <v>512</v>
      </c>
      <c r="C104" s="10">
        <v>20</v>
      </c>
      <c r="D104" s="10">
        <v>4</v>
      </c>
      <c r="E104" s="9">
        <f t="shared" si="4"/>
        <v>32</v>
      </c>
      <c r="F104" s="74" t="s">
        <v>115</v>
      </c>
      <c r="G104" s="75">
        <v>0.25</v>
      </c>
      <c r="H104" s="76">
        <v>0.3</v>
      </c>
      <c r="I104" s="9">
        <v>57</v>
      </c>
      <c r="J104" s="9">
        <v>63</v>
      </c>
      <c r="K104" s="9">
        <v>58</v>
      </c>
      <c r="L104" s="65">
        <f>AVERAGE(440,229)</f>
        <v>334.5</v>
      </c>
      <c r="M104" s="25" t="s">
        <v>1153</v>
      </c>
      <c r="N104" s="65">
        <f>AVERAGE(568,479,455,479)</f>
        <v>495.25</v>
      </c>
      <c r="O104" s="25" t="s">
        <v>1153</v>
      </c>
      <c r="P104" s="65">
        <v>300</v>
      </c>
      <c r="Q104" s="25" t="s">
        <v>1061</v>
      </c>
      <c r="R104" s="9" t="s">
        <v>30</v>
      </c>
      <c r="S104" s="65">
        <v>600</v>
      </c>
      <c r="T104" s="25" t="s">
        <v>964</v>
      </c>
      <c r="U104" s="50" t="s">
        <v>400</v>
      </c>
    </row>
    <row r="105" spans="1:21" s="26" customFormat="1" ht="12.6" customHeight="1">
      <c r="A105" s="73" t="s">
        <v>117</v>
      </c>
      <c r="B105" s="46" t="s">
        <v>513</v>
      </c>
      <c r="C105" s="9">
        <v>20</v>
      </c>
      <c r="D105" s="10">
        <v>4</v>
      </c>
      <c r="E105" s="50">
        <f t="shared" si="4"/>
        <v>32</v>
      </c>
      <c r="F105" s="9" t="s">
        <v>115</v>
      </c>
      <c r="G105" s="75">
        <v>0.25</v>
      </c>
      <c r="H105" s="76">
        <v>0.15</v>
      </c>
      <c r="I105" s="9">
        <v>30</v>
      </c>
      <c r="J105" s="9">
        <v>63</v>
      </c>
      <c r="K105" s="10">
        <v>49</v>
      </c>
      <c r="L105" s="65">
        <f>AVERAGE(270,295,308,232,295,275,250,299,231,325,302)</f>
        <v>280.18181818181819</v>
      </c>
      <c r="M105" s="25" t="s">
        <v>1118</v>
      </c>
      <c r="N105" s="65">
        <f>AVERAGE(308,337,335,350,361,325,347)</f>
        <v>337.57142857142856</v>
      </c>
      <c r="O105" s="118" t="s">
        <v>1061</v>
      </c>
      <c r="P105" s="65">
        <v>395</v>
      </c>
      <c r="Q105" s="25" t="s">
        <v>619</v>
      </c>
      <c r="R105" s="50" t="s">
        <v>400</v>
      </c>
      <c r="S105" s="65">
        <v>600</v>
      </c>
      <c r="T105" s="25" t="s">
        <v>892</v>
      </c>
      <c r="U105" s="50" t="s">
        <v>400</v>
      </c>
    </row>
    <row r="106" spans="1:21" s="26" customFormat="1" ht="12.6" customHeight="1">
      <c r="A106" s="73" t="s">
        <v>117</v>
      </c>
      <c r="B106" s="73" t="s">
        <v>961</v>
      </c>
      <c r="C106" s="10">
        <v>24</v>
      </c>
      <c r="D106" s="10">
        <v>2.8</v>
      </c>
      <c r="E106" s="9">
        <f t="shared" si="4"/>
        <v>38.400000000000006</v>
      </c>
      <c r="F106" s="74" t="s">
        <v>115</v>
      </c>
      <c r="G106" s="75">
        <v>0.25</v>
      </c>
      <c r="H106" s="76">
        <v>0.19500000000000001</v>
      </c>
      <c r="I106" s="9">
        <v>42</v>
      </c>
      <c r="J106" s="9">
        <v>63</v>
      </c>
      <c r="K106" s="9">
        <v>52</v>
      </c>
      <c r="L106" s="65">
        <f t="shared" ref="L106" si="5">AVERAGE(0)</f>
        <v>0</v>
      </c>
      <c r="M106" s="118" t="s">
        <v>14</v>
      </c>
      <c r="N106" s="65">
        <f t="shared" ref="N106" si="6">AVERAGE(0)</f>
        <v>0</v>
      </c>
      <c r="O106" s="25" t="s">
        <v>14</v>
      </c>
      <c r="P106" s="65" t="s">
        <v>14</v>
      </c>
      <c r="Q106" s="25" t="s">
        <v>14</v>
      </c>
      <c r="R106" s="9" t="s">
        <v>14</v>
      </c>
      <c r="S106" s="65" t="s">
        <v>14</v>
      </c>
      <c r="T106" s="25" t="s">
        <v>14</v>
      </c>
      <c r="U106" s="50" t="s">
        <v>14</v>
      </c>
    </row>
    <row r="107" spans="1:21" s="26" customFormat="1" ht="12.6" customHeight="1">
      <c r="A107" s="73" t="s">
        <v>117</v>
      </c>
      <c r="B107" s="46" t="s">
        <v>962</v>
      </c>
      <c r="C107" s="9">
        <v>24</v>
      </c>
      <c r="D107" s="10">
        <v>3.5</v>
      </c>
      <c r="E107" s="50">
        <f t="shared" si="4"/>
        <v>38.400000000000006</v>
      </c>
      <c r="F107" s="9" t="s">
        <v>115</v>
      </c>
      <c r="G107" s="75">
        <v>0.25</v>
      </c>
      <c r="H107" s="76">
        <v>0.248</v>
      </c>
      <c r="I107" s="9">
        <v>46</v>
      </c>
      <c r="J107" s="9">
        <v>63</v>
      </c>
      <c r="K107" s="10">
        <v>58</v>
      </c>
      <c r="L107" s="65">
        <f>AVERAGE(0)</f>
        <v>0</v>
      </c>
      <c r="M107" s="25" t="s">
        <v>14</v>
      </c>
      <c r="N107" s="65">
        <f>AVERAGE(219,170,193,190)</f>
        <v>193</v>
      </c>
      <c r="O107" s="118" t="s">
        <v>1061</v>
      </c>
      <c r="P107" s="65">
        <v>190</v>
      </c>
      <c r="Q107" s="25" t="s">
        <v>960</v>
      </c>
      <c r="R107" s="50" t="s">
        <v>28</v>
      </c>
      <c r="S107" s="65">
        <v>675</v>
      </c>
      <c r="T107" s="25" t="s">
        <v>964</v>
      </c>
      <c r="U107" s="50" t="s">
        <v>400</v>
      </c>
    </row>
    <row r="108" spans="1:21" ht="12.6" customHeight="1">
      <c r="A108" s="73" t="s">
        <v>117</v>
      </c>
      <c r="B108" s="73" t="s">
        <v>536</v>
      </c>
      <c r="C108" s="9">
        <v>28</v>
      </c>
      <c r="D108" s="10">
        <v>2</v>
      </c>
      <c r="E108" s="9">
        <f t="shared" si="4"/>
        <v>44.800000000000004</v>
      </c>
      <c r="F108" s="64" t="s">
        <v>115</v>
      </c>
      <c r="G108" s="75">
        <v>0.25</v>
      </c>
      <c r="H108" s="76">
        <v>0.42299999999999999</v>
      </c>
      <c r="I108" s="9">
        <v>69</v>
      </c>
      <c r="J108" s="9">
        <v>62.5</v>
      </c>
      <c r="K108" s="50">
        <v>52</v>
      </c>
      <c r="L108" s="65">
        <f>AVERAGE(659,540,500,500)</f>
        <v>549.75</v>
      </c>
      <c r="M108" s="50" t="s">
        <v>723</v>
      </c>
      <c r="N108" s="9">
        <f>AVERAGE(1199,900,999,770,771,822,832)</f>
        <v>899</v>
      </c>
      <c r="O108" s="10" t="s">
        <v>1061</v>
      </c>
      <c r="P108" s="65">
        <v>429</v>
      </c>
      <c r="Q108" s="10" t="s">
        <v>619</v>
      </c>
      <c r="R108" s="50" t="s">
        <v>28</v>
      </c>
      <c r="S108" s="65" t="s">
        <v>14</v>
      </c>
      <c r="T108" s="10" t="s">
        <v>14</v>
      </c>
      <c r="U108" s="50" t="s">
        <v>14</v>
      </c>
    </row>
    <row r="109" spans="1:21" s="26" customFormat="1" ht="12.6" customHeight="1">
      <c r="A109" s="26" t="s">
        <v>117</v>
      </c>
      <c r="B109" s="26" t="s">
        <v>707</v>
      </c>
      <c r="C109" s="10">
        <v>28</v>
      </c>
      <c r="D109" s="10">
        <v>2</v>
      </c>
      <c r="E109" s="9">
        <f t="shared" si="4"/>
        <v>44.800000000000004</v>
      </c>
      <c r="F109" s="75" t="s">
        <v>115</v>
      </c>
      <c r="G109" s="75">
        <v>0.3</v>
      </c>
      <c r="H109" s="10">
        <v>0.215</v>
      </c>
      <c r="I109" s="9">
        <v>42</v>
      </c>
      <c r="J109" s="9">
        <v>63</v>
      </c>
      <c r="K109" s="10">
        <v>49</v>
      </c>
      <c r="L109" s="65">
        <f>AVERAGE(318)</f>
        <v>318</v>
      </c>
      <c r="M109" s="66" t="s">
        <v>708</v>
      </c>
      <c r="N109" s="65">
        <f>AVERAGE(339,300,340,298,339,318,339,348,350)</f>
        <v>330.11111111111109</v>
      </c>
      <c r="O109" s="10" t="s">
        <v>999</v>
      </c>
      <c r="P109" s="79">
        <v>300</v>
      </c>
      <c r="Q109" s="10" t="s">
        <v>964</v>
      </c>
      <c r="R109" s="50" t="s">
        <v>400</v>
      </c>
      <c r="S109" s="79" t="s">
        <v>14</v>
      </c>
      <c r="T109" s="25" t="s">
        <v>14</v>
      </c>
      <c r="U109" s="66" t="s">
        <v>14</v>
      </c>
    </row>
    <row r="110" spans="1:21" s="26" customFormat="1" ht="12.6" customHeight="1">
      <c r="A110" s="26" t="s">
        <v>117</v>
      </c>
      <c r="B110" s="26" t="s">
        <v>815</v>
      </c>
      <c r="C110" s="10">
        <v>28</v>
      </c>
      <c r="D110" s="10">
        <v>3.5</v>
      </c>
      <c r="E110" s="9">
        <f t="shared" si="4"/>
        <v>44.800000000000004</v>
      </c>
      <c r="F110" s="75" t="s">
        <v>115</v>
      </c>
      <c r="G110" s="75">
        <v>0.3</v>
      </c>
      <c r="H110" s="10">
        <v>0.61099999999999999</v>
      </c>
      <c r="I110" s="9">
        <v>93</v>
      </c>
      <c r="J110" s="9">
        <v>80</v>
      </c>
      <c r="K110" s="10" t="s">
        <v>123</v>
      </c>
      <c r="L110" s="65">
        <f>AVERAGE(435,425,400,312,356,454,307,513,450,425,450,374)</f>
        <v>408.41666666666669</v>
      </c>
      <c r="M110" s="66" t="s">
        <v>952</v>
      </c>
      <c r="N110" s="65">
        <f>AVERAGE(544,650,529,500,565,600)</f>
        <v>564.66666666666663</v>
      </c>
      <c r="O110" s="10" t="s">
        <v>723</v>
      </c>
      <c r="P110" s="79">
        <v>700</v>
      </c>
      <c r="Q110" s="10" t="s">
        <v>1153</v>
      </c>
      <c r="R110" s="50" t="s">
        <v>30</v>
      </c>
      <c r="S110" s="79">
        <v>835</v>
      </c>
      <c r="T110" s="25" t="s">
        <v>874</v>
      </c>
      <c r="U110" s="66" t="s">
        <v>30</v>
      </c>
    </row>
    <row r="111" spans="1:21" ht="12.6" customHeight="1">
      <c r="A111" s="67" t="s">
        <v>117</v>
      </c>
      <c r="B111" s="67" t="s">
        <v>648</v>
      </c>
      <c r="C111" s="36">
        <v>28</v>
      </c>
      <c r="D111" s="71">
        <v>3.5</v>
      </c>
      <c r="E111" s="36">
        <f t="shared" si="4"/>
        <v>44.800000000000004</v>
      </c>
      <c r="F111" s="69" t="s">
        <v>115</v>
      </c>
      <c r="G111" s="59">
        <v>0.3</v>
      </c>
      <c r="H111" s="40">
        <v>0.26100000000000001</v>
      </c>
      <c r="I111" s="36">
        <v>47</v>
      </c>
      <c r="J111" s="36">
        <v>63</v>
      </c>
      <c r="K111" s="52">
        <v>52</v>
      </c>
      <c r="L111" s="61">
        <f>AVERAGE(195,135,129,119,101,129,114,120,129)</f>
        <v>130.11111111111111</v>
      </c>
      <c r="M111" s="52" t="s">
        <v>1171</v>
      </c>
      <c r="N111" s="36">
        <f>AVERAGE(316,275)</f>
        <v>295.5</v>
      </c>
      <c r="O111" s="71" t="s">
        <v>1118</v>
      </c>
      <c r="P111" s="61" t="s">
        <v>14</v>
      </c>
      <c r="Q111" s="71" t="s">
        <v>14</v>
      </c>
      <c r="R111" s="52" t="s">
        <v>14</v>
      </c>
      <c r="S111" s="61">
        <v>700</v>
      </c>
      <c r="T111" s="71" t="s">
        <v>1153</v>
      </c>
      <c r="U111" s="52" t="s">
        <v>30</v>
      </c>
    </row>
    <row r="112" spans="1:21" s="26" customFormat="1" ht="12.6" customHeight="1">
      <c r="A112" s="73" t="s">
        <v>117</v>
      </c>
      <c r="B112" s="46" t="s">
        <v>649</v>
      </c>
      <c r="C112" s="9">
        <v>35</v>
      </c>
      <c r="D112" s="10">
        <v>3.5</v>
      </c>
      <c r="E112" s="50">
        <f t="shared" ref="E112:E136" si="7">C112*1.6</f>
        <v>56</v>
      </c>
      <c r="F112" s="9" t="s">
        <v>115</v>
      </c>
      <c r="G112" s="75">
        <v>0.35</v>
      </c>
      <c r="H112" s="76">
        <v>0.161</v>
      </c>
      <c r="I112" s="9">
        <v>36</v>
      </c>
      <c r="J112" s="9">
        <v>63</v>
      </c>
      <c r="K112" s="10">
        <v>52</v>
      </c>
      <c r="L112" s="65">
        <f>AVERAGE(140,138,145,129,115,129,135,125,129,132)</f>
        <v>131.69999999999999</v>
      </c>
      <c r="M112" s="25" t="s">
        <v>1091</v>
      </c>
      <c r="N112" s="65">
        <f>AVERAGE(145,169,150,163,150,168,160,140,135)</f>
        <v>153.33333333333334</v>
      </c>
      <c r="O112" s="118" t="s">
        <v>925</v>
      </c>
      <c r="P112" s="65" t="s">
        <v>14</v>
      </c>
      <c r="Q112" s="25" t="s">
        <v>14</v>
      </c>
      <c r="R112" s="50" t="s">
        <v>14</v>
      </c>
      <c r="S112" s="65" t="s">
        <v>14</v>
      </c>
      <c r="T112" s="25" t="s">
        <v>14</v>
      </c>
      <c r="U112" s="50" t="s">
        <v>14</v>
      </c>
    </row>
    <row r="113" spans="1:21" s="26" customFormat="1" ht="12.6" customHeight="1">
      <c r="A113" s="73" t="s">
        <v>117</v>
      </c>
      <c r="B113" s="73" t="s">
        <v>190</v>
      </c>
      <c r="C113" s="10">
        <v>50</v>
      </c>
      <c r="D113" s="10">
        <v>1.2</v>
      </c>
      <c r="E113" s="9">
        <f t="shared" si="7"/>
        <v>80</v>
      </c>
      <c r="F113" s="74" t="s">
        <v>115</v>
      </c>
      <c r="G113" s="75">
        <v>0.45</v>
      </c>
      <c r="H113" s="76">
        <v>0.38500000000000001</v>
      </c>
      <c r="I113" s="9">
        <v>49</v>
      </c>
      <c r="J113" s="9">
        <v>65</v>
      </c>
      <c r="K113" s="9">
        <v>52</v>
      </c>
      <c r="L113" s="65">
        <f>AVERAGE(343,299,299,244,285,259,260,283,269,311,324,300,350)</f>
        <v>294.30769230769232</v>
      </c>
      <c r="M113" s="25" t="s">
        <v>1153</v>
      </c>
      <c r="N113" s="65">
        <f>AVERAGE(418,430,416,399,315,432,340,345,387,420,429)</f>
        <v>393.72727272727275</v>
      </c>
      <c r="O113" s="25" t="s">
        <v>1171</v>
      </c>
      <c r="P113" s="65">
        <f>650*CA.US</f>
        <v>494</v>
      </c>
      <c r="Q113" s="25" t="s">
        <v>999</v>
      </c>
      <c r="R113" s="9" t="s">
        <v>873</v>
      </c>
      <c r="S113" s="65">
        <v>750</v>
      </c>
      <c r="T113" s="25" t="s">
        <v>964</v>
      </c>
      <c r="U113" s="50" t="s">
        <v>400</v>
      </c>
    </row>
    <row r="114" spans="1:21" s="26" customFormat="1" ht="12.6" customHeight="1">
      <c r="A114" s="73" t="s">
        <v>117</v>
      </c>
      <c r="B114" s="73" t="s">
        <v>191</v>
      </c>
      <c r="C114" s="10">
        <v>50</v>
      </c>
      <c r="D114" s="10">
        <v>1.2</v>
      </c>
      <c r="E114" s="9">
        <f t="shared" si="7"/>
        <v>80</v>
      </c>
      <c r="F114" s="74" t="s">
        <v>118</v>
      </c>
      <c r="G114" s="75">
        <v>0.45</v>
      </c>
      <c r="H114" s="76">
        <v>0.34499999999999997</v>
      </c>
      <c r="I114" s="9">
        <v>49</v>
      </c>
      <c r="J114" s="9">
        <v>65</v>
      </c>
      <c r="K114" s="9">
        <v>52</v>
      </c>
      <c r="L114" s="65">
        <f>AVERAGE(310,439,390,405,400,425,480,500,495,487,450,406)</f>
        <v>432.25</v>
      </c>
      <c r="M114" s="25" t="s">
        <v>645</v>
      </c>
      <c r="N114" s="65">
        <f>AVERAGE(548,579,597,599,610,500,650,575,600,580)</f>
        <v>583.79999999999995</v>
      </c>
      <c r="O114" s="25" t="s">
        <v>817</v>
      </c>
      <c r="P114" s="65">
        <f>825*CA.US</f>
        <v>627</v>
      </c>
      <c r="Q114" s="25" t="s">
        <v>999</v>
      </c>
      <c r="R114" s="9" t="s">
        <v>873</v>
      </c>
      <c r="S114" s="65" t="s">
        <v>14</v>
      </c>
      <c r="T114" s="25" t="s">
        <v>14</v>
      </c>
      <c r="U114" s="50" t="s">
        <v>14</v>
      </c>
    </row>
    <row r="115" spans="1:21" s="26" customFormat="1" ht="12.6" customHeight="1">
      <c r="A115" s="73" t="s">
        <v>117</v>
      </c>
      <c r="B115" s="46" t="s">
        <v>192</v>
      </c>
      <c r="C115" s="9">
        <v>50</v>
      </c>
      <c r="D115" s="10">
        <v>1.4</v>
      </c>
      <c r="E115" s="50">
        <f t="shared" si="7"/>
        <v>80</v>
      </c>
      <c r="F115" s="9" t="s">
        <v>118</v>
      </c>
      <c r="G115" s="75">
        <v>0.45</v>
      </c>
      <c r="H115" s="76">
        <v>0.26500000000000001</v>
      </c>
      <c r="I115" s="9">
        <v>37</v>
      </c>
      <c r="J115" s="9">
        <v>63</v>
      </c>
      <c r="K115" s="10">
        <v>49</v>
      </c>
      <c r="L115" s="65">
        <f>AVERAGE(105,120,120,119,101,110,115,103,133,120,123,107)</f>
        <v>114.66666666666667</v>
      </c>
      <c r="M115" s="25" t="s">
        <v>1153</v>
      </c>
      <c r="N115" s="65">
        <f>AVERAGE(155,130,120,173,148,179,176,185,148,140)</f>
        <v>155.4</v>
      </c>
      <c r="O115" s="118" t="s">
        <v>1091</v>
      </c>
      <c r="P115" s="65">
        <v>90</v>
      </c>
      <c r="Q115" s="25" t="s">
        <v>1153</v>
      </c>
      <c r="R115" s="50" t="s">
        <v>26</v>
      </c>
      <c r="S115" s="65" t="s">
        <v>14</v>
      </c>
      <c r="T115" s="25" t="s">
        <v>14</v>
      </c>
      <c r="U115" s="50" t="s">
        <v>14</v>
      </c>
    </row>
    <row r="116" spans="1:21" s="26" customFormat="1" ht="12.6" customHeight="1">
      <c r="A116" s="73" t="s">
        <v>117</v>
      </c>
      <c r="B116" s="46" t="s">
        <v>879</v>
      </c>
      <c r="C116" s="9">
        <v>50</v>
      </c>
      <c r="D116" s="10">
        <v>2.8</v>
      </c>
      <c r="E116" s="50">
        <f t="shared" si="7"/>
        <v>80</v>
      </c>
      <c r="F116" s="9" t="s">
        <v>118</v>
      </c>
      <c r="G116" s="75">
        <v>0.24</v>
      </c>
      <c r="H116" s="76">
        <v>0.22</v>
      </c>
      <c r="I116" s="9">
        <v>50</v>
      </c>
      <c r="J116" s="9">
        <v>63</v>
      </c>
      <c r="K116" s="10">
        <v>49</v>
      </c>
      <c r="L116" s="65">
        <f>AVERAGE(132,146,136,150,104,140,146,119,100,155,154,140,125,158,125,150)</f>
        <v>136.25</v>
      </c>
      <c r="M116" s="25" t="s">
        <v>1171</v>
      </c>
      <c r="N116" s="65">
        <f>AVERAGE(159,184,168,280,169,,195,199,230,209,210,224)</f>
        <v>185.58333333333334</v>
      </c>
      <c r="O116" s="118" t="s">
        <v>954</v>
      </c>
      <c r="P116" s="65">
        <f>225*CA.US</f>
        <v>171</v>
      </c>
      <c r="Q116" s="25" t="s">
        <v>1153</v>
      </c>
      <c r="R116" s="50" t="s">
        <v>873</v>
      </c>
      <c r="S116" s="65">
        <v>250</v>
      </c>
      <c r="T116" s="25" t="s">
        <v>964</v>
      </c>
      <c r="U116" s="50" t="s">
        <v>30</v>
      </c>
    </row>
    <row r="117" spans="1:21" ht="12.6" customHeight="1">
      <c r="A117" s="73" t="s">
        <v>117</v>
      </c>
      <c r="B117" s="73" t="s">
        <v>880</v>
      </c>
      <c r="C117" s="9">
        <v>50</v>
      </c>
      <c r="D117" s="10">
        <v>2.8</v>
      </c>
      <c r="E117" s="9">
        <f t="shared" si="7"/>
        <v>80</v>
      </c>
      <c r="F117" s="64" t="s">
        <v>631</v>
      </c>
      <c r="G117" s="75">
        <v>0.19</v>
      </c>
      <c r="H117" s="76">
        <v>0.38500000000000001</v>
      </c>
      <c r="I117" s="9">
        <v>70</v>
      </c>
      <c r="J117" s="9">
        <v>68</v>
      </c>
      <c r="K117" s="50">
        <v>52</v>
      </c>
      <c r="L117" s="65">
        <f>AVERAGE(165,153,171,194,182,200,198,196,192,164,159)</f>
        <v>179.45454545454547</v>
      </c>
      <c r="M117" s="50" t="s">
        <v>1091</v>
      </c>
      <c r="N117" s="9">
        <f>AVERAGE(199,256,255)</f>
        <v>236.66666666666666</v>
      </c>
      <c r="O117" s="10" t="s">
        <v>1059</v>
      </c>
      <c r="P117" s="65">
        <f>249*CA.US</f>
        <v>189.24</v>
      </c>
      <c r="Q117" s="10" t="s">
        <v>1005</v>
      </c>
      <c r="R117" s="50" t="s">
        <v>537</v>
      </c>
      <c r="S117" s="65" t="s">
        <v>14</v>
      </c>
      <c r="T117" s="10" t="s">
        <v>14</v>
      </c>
      <c r="U117" s="50" t="s">
        <v>14</v>
      </c>
    </row>
    <row r="118" spans="1:21" ht="12.6" customHeight="1">
      <c r="A118" s="73" t="s">
        <v>117</v>
      </c>
      <c r="B118" s="73" t="s">
        <v>427</v>
      </c>
      <c r="C118" s="9">
        <v>85</v>
      </c>
      <c r="D118" s="10">
        <v>1.4</v>
      </c>
      <c r="E118" s="9">
        <f t="shared" si="7"/>
        <v>136</v>
      </c>
      <c r="F118" s="64" t="s">
        <v>118</v>
      </c>
      <c r="G118" s="75">
        <v>0.85</v>
      </c>
      <c r="H118" s="76">
        <v>0.55500000000000005</v>
      </c>
      <c r="I118" s="9">
        <v>66</v>
      </c>
      <c r="J118" s="9">
        <v>74</v>
      </c>
      <c r="K118" s="9">
        <v>67</v>
      </c>
      <c r="L118" s="65">
        <f>AVERAGE(949,950,850,1117,835,810,760,999,930,895)</f>
        <v>909.5</v>
      </c>
      <c r="M118" s="50" t="s">
        <v>1061</v>
      </c>
      <c r="N118" s="65">
        <f>AVERAGE(1290,1299,1350,1278,1000,1219,1180,1089,1225,1300,1235,1098,1200,1200,1149)</f>
        <v>1207.4666666666667</v>
      </c>
      <c r="O118" s="50" t="s">
        <v>1005</v>
      </c>
      <c r="P118" s="9">
        <v>1170</v>
      </c>
      <c r="Q118" s="9" t="s">
        <v>542</v>
      </c>
      <c r="R118" s="66" t="s">
        <v>31</v>
      </c>
      <c r="S118" s="79">
        <v>2500</v>
      </c>
      <c r="T118" s="9" t="s">
        <v>892</v>
      </c>
      <c r="U118" s="66" t="s">
        <v>400</v>
      </c>
    </row>
    <row r="119" spans="1:21" s="26" customFormat="1" ht="12.6" customHeight="1">
      <c r="A119" s="26" t="s">
        <v>117</v>
      </c>
      <c r="B119" s="26" t="s">
        <v>958</v>
      </c>
      <c r="C119" s="10">
        <v>85</v>
      </c>
      <c r="D119" s="10">
        <v>1.4</v>
      </c>
      <c r="E119" s="9">
        <f t="shared" si="7"/>
        <v>136</v>
      </c>
      <c r="F119" s="75" t="s">
        <v>631</v>
      </c>
      <c r="G119" s="75">
        <v>0.85</v>
      </c>
      <c r="H119" s="10">
        <v>0.55000000000000004</v>
      </c>
      <c r="I119" s="9">
        <v>79</v>
      </c>
      <c r="J119" s="9">
        <v>70</v>
      </c>
      <c r="K119" s="10">
        <v>67</v>
      </c>
      <c r="L119" s="65">
        <f>AVERAGE(800,840,881,853,731,800,850)</f>
        <v>822.14285714285711</v>
      </c>
      <c r="M119" s="66" t="s">
        <v>1091</v>
      </c>
      <c r="N119" s="65">
        <f>AVERAGE(1020,1110,1250,950,1100,1138,960)</f>
        <v>1075.4285714285713</v>
      </c>
      <c r="O119" s="10" t="s">
        <v>1153</v>
      </c>
      <c r="P119" s="79">
        <v>900</v>
      </c>
      <c r="Q119" s="10" t="s">
        <v>964</v>
      </c>
      <c r="R119" s="50" t="s">
        <v>30</v>
      </c>
      <c r="S119" s="79" t="s">
        <v>14</v>
      </c>
      <c r="T119" s="25" t="s">
        <v>14</v>
      </c>
      <c r="U119" s="66" t="s">
        <v>14</v>
      </c>
    </row>
    <row r="120" spans="1:21" ht="12.6" customHeight="1">
      <c r="A120" s="73" t="s">
        <v>117</v>
      </c>
      <c r="B120" s="73" t="s">
        <v>193</v>
      </c>
      <c r="C120" s="9">
        <v>85</v>
      </c>
      <c r="D120" s="10">
        <v>1.8</v>
      </c>
      <c r="E120" s="9">
        <f t="shared" si="7"/>
        <v>136</v>
      </c>
      <c r="F120" s="64" t="s">
        <v>115</v>
      </c>
      <c r="G120" s="75">
        <v>0.85</v>
      </c>
      <c r="H120" s="76">
        <v>0.33100000000000002</v>
      </c>
      <c r="I120" s="9">
        <v>56</v>
      </c>
      <c r="J120" s="9">
        <v>64</v>
      </c>
      <c r="K120" s="50">
        <v>52</v>
      </c>
      <c r="L120" s="65">
        <f>AVERAGE(250,368,306,315,379,356,335,417,419,406,340)</f>
        <v>353.72727272727275</v>
      </c>
      <c r="M120" s="50" t="s">
        <v>874</v>
      </c>
      <c r="N120" s="9">
        <f>AVERAGE(450,390,439,399,400,578,490,405,489,424,420,455,512)</f>
        <v>450.07692307692309</v>
      </c>
      <c r="O120" s="10" t="s">
        <v>892</v>
      </c>
      <c r="P120" s="65">
        <f>295*CA.US</f>
        <v>224.2</v>
      </c>
      <c r="Q120" s="10" t="s">
        <v>874</v>
      </c>
      <c r="R120" s="50" t="s">
        <v>33</v>
      </c>
      <c r="S120" s="65">
        <v>850</v>
      </c>
      <c r="T120" s="10" t="s">
        <v>964</v>
      </c>
      <c r="U120" s="50" t="s">
        <v>400</v>
      </c>
    </row>
    <row r="121" spans="1:21" ht="12.6" customHeight="1">
      <c r="A121" s="67" t="s">
        <v>117</v>
      </c>
      <c r="B121" s="67" t="s">
        <v>354</v>
      </c>
      <c r="C121" s="36">
        <v>85</v>
      </c>
      <c r="D121" s="71">
        <v>2.2000000000000002</v>
      </c>
      <c r="E121" s="36">
        <f t="shared" si="7"/>
        <v>136</v>
      </c>
      <c r="F121" s="69" t="s">
        <v>115</v>
      </c>
      <c r="G121" s="59">
        <v>0.56999999999999995</v>
      </c>
      <c r="H121" s="40">
        <v>0.23499999999999999</v>
      </c>
      <c r="I121" s="36">
        <v>52</v>
      </c>
      <c r="J121" s="36">
        <v>72</v>
      </c>
      <c r="K121" s="36">
        <v>49</v>
      </c>
      <c r="L121" s="61">
        <f>AVERAGE(206,200,210,167,195,167,190,278,239)</f>
        <v>205.77777777777777</v>
      </c>
      <c r="M121" s="52" t="s">
        <v>918</v>
      </c>
      <c r="N121" s="61">
        <f>AVERAGE(260,338,310,345,300)</f>
        <v>310.60000000000002</v>
      </c>
      <c r="O121" s="52" t="s">
        <v>723</v>
      </c>
      <c r="P121" s="36">
        <v>280</v>
      </c>
      <c r="Q121" s="36" t="s">
        <v>723</v>
      </c>
      <c r="R121" s="52" t="s">
        <v>28</v>
      </c>
      <c r="S121" s="61">
        <v>313</v>
      </c>
      <c r="T121" s="36" t="s">
        <v>723</v>
      </c>
      <c r="U121" s="52" t="s">
        <v>28</v>
      </c>
    </row>
    <row r="122" spans="1:21" s="26" customFormat="1" ht="12.6" customHeight="1">
      <c r="A122" s="73" t="s">
        <v>117</v>
      </c>
      <c r="B122" s="73" t="s">
        <v>701</v>
      </c>
      <c r="C122" s="10">
        <v>100</v>
      </c>
      <c r="D122" s="10">
        <v>2.8</v>
      </c>
      <c r="E122" s="9">
        <f t="shared" si="7"/>
        <v>160</v>
      </c>
      <c r="F122" s="74" t="s">
        <v>118</v>
      </c>
      <c r="G122" s="75">
        <v>0.31</v>
      </c>
      <c r="H122" s="76">
        <v>0.47</v>
      </c>
      <c r="I122" s="9">
        <v>93</v>
      </c>
      <c r="J122" s="9">
        <v>74</v>
      </c>
      <c r="K122" s="9">
        <v>58</v>
      </c>
      <c r="L122" s="65">
        <f>AVERAGE(400,356,465,500,312,528,489)</f>
        <v>435.71428571428572</v>
      </c>
      <c r="M122" s="25" t="s">
        <v>952</v>
      </c>
      <c r="N122" s="65">
        <f>AVERAGE(525)</f>
        <v>525</v>
      </c>
      <c r="O122" s="25" t="s">
        <v>1110</v>
      </c>
      <c r="P122" s="65">
        <v>590</v>
      </c>
      <c r="Q122" s="25" t="s">
        <v>1153</v>
      </c>
      <c r="R122" s="9" t="s">
        <v>1136</v>
      </c>
      <c r="S122" s="65">
        <v>950</v>
      </c>
      <c r="T122" s="25" t="s">
        <v>892</v>
      </c>
      <c r="U122" s="50" t="s">
        <v>400</v>
      </c>
    </row>
    <row r="123" spans="1:21" s="26" customFormat="1" ht="12.6" customHeight="1">
      <c r="A123" s="73" t="s">
        <v>117</v>
      </c>
      <c r="B123" s="73" t="s">
        <v>428</v>
      </c>
      <c r="C123" s="10">
        <v>135</v>
      </c>
      <c r="D123" s="10">
        <v>1.8</v>
      </c>
      <c r="E123" s="9">
        <f t="shared" si="7"/>
        <v>216</v>
      </c>
      <c r="F123" s="74" t="s">
        <v>118</v>
      </c>
      <c r="G123" s="75">
        <v>1.2</v>
      </c>
      <c r="H123" s="76">
        <v>0.86499999999999999</v>
      </c>
      <c r="I123" s="9">
        <v>98</v>
      </c>
      <c r="J123" s="9">
        <v>80</v>
      </c>
      <c r="K123" s="9">
        <v>77</v>
      </c>
      <c r="L123" s="65">
        <f>AVERAGE(1600,1759,1699,1999,1913,1690,2000,2103,1503,2098,1425,1677,1837)</f>
        <v>1792.5384615384614</v>
      </c>
      <c r="M123" s="25" t="s">
        <v>1153</v>
      </c>
      <c r="N123" s="65">
        <f>AVERAGE(1900,2768,2868,2598,2999,2950,2260)</f>
        <v>2620.4285714285716</v>
      </c>
      <c r="O123" s="25" t="s">
        <v>1110</v>
      </c>
      <c r="P123" s="65">
        <v>2570</v>
      </c>
      <c r="Q123" s="25" t="s">
        <v>593</v>
      </c>
      <c r="R123" s="9" t="s">
        <v>28</v>
      </c>
      <c r="S123" s="65" t="s">
        <v>14</v>
      </c>
      <c r="T123" s="25" t="s">
        <v>14</v>
      </c>
      <c r="U123" s="50" t="s">
        <v>14</v>
      </c>
    </row>
    <row r="124" spans="1:21" ht="12.6" customHeight="1">
      <c r="A124" s="73" t="s">
        <v>117</v>
      </c>
      <c r="B124" s="73" t="s">
        <v>194</v>
      </c>
      <c r="C124" s="9">
        <v>135</v>
      </c>
      <c r="D124" s="10">
        <v>2.5</v>
      </c>
      <c r="E124" s="9">
        <f t="shared" si="7"/>
        <v>216</v>
      </c>
      <c r="F124" s="64" t="s">
        <v>115</v>
      </c>
      <c r="G124" s="75">
        <v>1.5</v>
      </c>
      <c r="H124" s="76">
        <v>0.5</v>
      </c>
      <c r="I124" s="9">
        <v>86</v>
      </c>
      <c r="J124" s="9">
        <v>68</v>
      </c>
      <c r="K124" s="50">
        <v>58</v>
      </c>
      <c r="L124" s="65">
        <f>AVERAGE(119,128,110,170,179,124,174,189,164,195,174,156,160)</f>
        <v>157.07692307692307</v>
      </c>
      <c r="M124" s="50" t="s">
        <v>1153</v>
      </c>
      <c r="N124" s="9">
        <f>AVERAGE(184,189,255,295,241,305,325,310)</f>
        <v>263</v>
      </c>
      <c r="O124" s="10" t="s">
        <v>709</v>
      </c>
      <c r="P124" s="65">
        <f>250*CA.US</f>
        <v>190</v>
      </c>
      <c r="Q124" s="10" t="s">
        <v>944</v>
      </c>
      <c r="R124" s="50" t="s">
        <v>873</v>
      </c>
      <c r="S124" s="65">
        <v>550</v>
      </c>
      <c r="T124" s="10" t="s">
        <v>1005</v>
      </c>
      <c r="U124" s="50" t="s">
        <v>400</v>
      </c>
    </row>
    <row r="125" spans="1:21" ht="12.6" customHeight="1">
      <c r="A125" s="67" t="s">
        <v>117</v>
      </c>
      <c r="B125" s="67" t="s">
        <v>195</v>
      </c>
      <c r="C125" s="36">
        <v>135</v>
      </c>
      <c r="D125" s="71">
        <v>3.5</v>
      </c>
      <c r="E125" s="36">
        <f t="shared" si="7"/>
        <v>216</v>
      </c>
      <c r="F125" s="69" t="s">
        <v>115</v>
      </c>
      <c r="G125" s="59">
        <v>1.5</v>
      </c>
      <c r="H125" s="40">
        <v>0.27</v>
      </c>
      <c r="I125" s="36">
        <v>66</v>
      </c>
      <c r="J125" s="36">
        <v>63</v>
      </c>
      <c r="K125" s="36">
        <v>49</v>
      </c>
      <c r="L125" s="61">
        <f>AVERAGE(47,47,63,55,46,50)</f>
        <v>51.333333333333336</v>
      </c>
      <c r="M125" s="52" t="s">
        <v>476</v>
      </c>
      <c r="N125" s="61">
        <f>AVERAGE(115,139,109,125)</f>
        <v>122</v>
      </c>
      <c r="O125" s="36" t="s">
        <v>892</v>
      </c>
      <c r="P125" s="61">
        <v>70</v>
      </c>
      <c r="Q125" s="36" t="s">
        <v>964</v>
      </c>
      <c r="R125" s="52" t="s">
        <v>30</v>
      </c>
      <c r="S125" s="61" t="s">
        <v>14</v>
      </c>
      <c r="T125" s="36" t="s">
        <v>14</v>
      </c>
      <c r="U125" s="52" t="s">
        <v>14</v>
      </c>
    </row>
    <row r="126" spans="1:21" ht="12.6" customHeight="1">
      <c r="A126" s="73" t="s">
        <v>117</v>
      </c>
      <c r="B126" s="73" t="s">
        <v>196</v>
      </c>
      <c r="C126" s="9">
        <v>200</v>
      </c>
      <c r="D126" s="10">
        <v>2.5</v>
      </c>
      <c r="E126" s="9">
        <f t="shared" si="7"/>
        <v>320</v>
      </c>
      <c r="F126" s="64" t="s">
        <v>115</v>
      </c>
      <c r="G126" s="75">
        <v>2</v>
      </c>
      <c r="H126" s="76">
        <v>0.95</v>
      </c>
      <c r="I126" s="9">
        <v>145</v>
      </c>
      <c r="J126" s="9">
        <v>89</v>
      </c>
      <c r="K126" s="50">
        <v>77</v>
      </c>
      <c r="L126" s="65">
        <f>AVERAGE(350,223,289,409,300,350,256,350,489,325)</f>
        <v>334.1</v>
      </c>
      <c r="M126" s="50" t="s">
        <v>952</v>
      </c>
      <c r="N126" s="9">
        <f>AVERAGE(430,459,663,500,499)</f>
        <v>510.2</v>
      </c>
      <c r="O126" s="10" t="s">
        <v>954</v>
      </c>
      <c r="P126" s="65">
        <v>350</v>
      </c>
      <c r="Q126" s="10" t="s">
        <v>964</v>
      </c>
      <c r="R126" s="50" t="s">
        <v>30</v>
      </c>
      <c r="S126" s="65">
        <v>600</v>
      </c>
      <c r="T126" s="10" t="s">
        <v>1005</v>
      </c>
      <c r="U126" s="50" t="s">
        <v>400</v>
      </c>
    </row>
    <row r="127" spans="1:21" s="26" customFormat="1" ht="12.6" customHeight="1">
      <c r="A127" s="73" t="s">
        <v>117</v>
      </c>
      <c r="B127" s="73" t="s">
        <v>197</v>
      </c>
      <c r="C127" s="10">
        <v>200</v>
      </c>
      <c r="D127" s="10">
        <v>2.8</v>
      </c>
      <c r="E127" s="9">
        <f t="shared" si="7"/>
        <v>320</v>
      </c>
      <c r="F127" s="74" t="s">
        <v>118</v>
      </c>
      <c r="G127" s="75">
        <v>1.8</v>
      </c>
      <c r="H127" s="76">
        <v>0.85</v>
      </c>
      <c r="I127" s="9">
        <v>138</v>
      </c>
      <c r="J127" s="9">
        <v>91</v>
      </c>
      <c r="K127" s="9">
        <v>77</v>
      </c>
      <c r="L127" s="65">
        <f>AVERAGE(600,589,590,608,635,638,740,638,750,768)</f>
        <v>655.6</v>
      </c>
      <c r="M127" s="118" t="s">
        <v>1171</v>
      </c>
      <c r="N127" s="65">
        <f>AVERAGE(600,700)</f>
        <v>650</v>
      </c>
      <c r="O127" s="25" t="s">
        <v>1171</v>
      </c>
      <c r="P127" s="65" t="s">
        <v>14</v>
      </c>
      <c r="Q127" s="25" t="s">
        <v>14</v>
      </c>
      <c r="R127" s="50" t="s">
        <v>14</v>
      </c>
      <c r="S127" s="65" t="s">
        <v>14</v>
      </c>
      <c r="T127" s="25" t="s">
        <v>14</v>
      </c>
      <c r="U127" s="50" t="s">
        <v>14</v>
      </c>
    </row>
    <row r="128" spans="1:21" ht="12.6" customHeight="1">
      <c r="A128" s="73" t="s">
        <v>117</v>
      </c>
      <c r="B128" s="73" t="s">
        <v>198</v>
      </c>
      <c r="C128" s="9">
        <v>200</v>
      </c>
      <c r="D128" s="10">
        <v>4</v>
      </c>
      <c r="E128" s="9">
        <f t="shared" si="7"/>
        <v>320</v>
      </c>
      <c r="F128" s="64" t="s">
        <v>118</v>
      </c>
      <c r="G128" s="75">
        <v>0.55000000000000004</v>
      </c>
      <c r="H128" s="76">
        <v>0.89500000000000002</v>
      </c>
      <c r="I128" s="9">
        <v>145</v>
      </c>
      <c r="J128" s="9">
        <v>71</v>
      </c>
      <c r="K128" s="9">
        <v>58</v>
      </c>
      <c r="L128" s="65">
        <f>AVERAGE(1151,1850,1950,2049,2000,2198,2299,2200,1899,2299,2050)</f>
        <v>1995</v>
      </c>
      <c r="M128" s="50" t="s">
        <v>1153</v>
      </c>
      <c r="N128" s="65">
        <f>AVERAGE(2700,2600,2400,2300,2800,2299,2499,2000,2299,2299)</f>
        <v>2419.6</v>
      </c>
      <c r="O128" s="50" t="s">
        <v>1118</v>
      </c>
      <c r="P128" s="9" t="s">
        <v>14</v>
      </c>
      <c r="Q128" s="9" t="s">
        <v>14</v>
      </c>
      <c r="R128" s="66" t="s">
        <v>14</v>
      </c>
      <c r="S128" s="79" t="s">
        <v>14</v>
      </c>
      <c r="T128" s="9" t="s">
        <v>14</v>
      </c>
      <c r="U128" s="66" t="s">
        <v>14</v>
      </c>
    </row>
    <row r="129" spans="1:21" s="26" customFormat="1" ht="12.6" customHeight="1">
      <c r="A129" s="73" t="s">
        <v>117</v>
      </c>
      <c r="B129" s="73" t="s">
        <v>959</v>
      </c>
      <c r="C129" s="10">
        <v>200</v>
      </c>
      <c r="D129" s="10">
        <v>4</v>
      </c>
      <c r="E129" s="9">
        <f t="shared" si="7"/>
        <v>320</v>
      </c>
      <c r="F129" s="74" t="s">
        <v>631</v>
      </c>
      <c r="G129" s="75">
        <v>0.51</v>
      </c>
      <c r="H129" s="76">
        <v>1.08</v>
      </c>
      <c r="I129" s="9">
        <v>192</v>
      </c>
      <c r="J129" s="9">
        <v>80</v>
      </c>
      <c r="K129" s="9">
        <v>67</v>
      </c>
      <c r="L129" s="65">
        <f>AVERAGE(0)</f>
        <v>0</v>
      </c>
      <c r="M129" s="25" t="s">
        <v>14</v>
      </c>
      <c r="N129" s="65">
        <f>AVERAGE(0)</f>
        <v>0</v>
      </c>
      <c r="O129" s="25" t="s">
        <v>14</v>
      </c>
      <c r="P129" s="65" t="s">
        <v>14</v>
      </c>
      <c r="Q129" s="25" t="s">
        <v>14</v>
      </c>
      <c r="R129" s="9" t="s">
        <v>14</v>
      </c>
      <c r="S129" s="65" t="s">
        <v>14</v>
      </c>
      <c r="T129" s="25" t="s">
        <v>14</v>
      </c>
      <c r="U129" s="50" t="s">
        <v>14</v>
      </c>
    </row>
    <row r="130" spans="1:21" s="26" customFormat="1" ht="12.6" customHeight="1">
      <c r="A130" s="73" t="s">
        <v>117</v>
      </c>
      <c r="B130" s="73" t="s">
        <v>199</v>
      </c>
      <c r="C130" s="10">
        <v>300</v>
      </c>
      <c r="D130" s="10">
        <v>2.8</v>
      </c>
      <c r="E130" s="9">
        <f t="shared" si="7"/>
        <v>480</v>
      </c>
      <c r="F130" s="74" t="s">
        <v>118</v>
      </c>
      <c r="G130" s="75">
        <v>3</v>
      </c>
      <c r="H130" s="76">
        <v>2.97</v>
      </c>
      <c r="I130" s="9">
        <v>236</v>
      </c>
      <c r="J130" s="9">
        <v>133</v>
      </c>
      <c r="K130" s="9">
        <v>49</v>
      </c>
      <c r="L130" s="65">
        <f>AVERAGE(993,1599)</f>
        <v>1296</v>
      </c>
      <c r="M130" s="118" t="s">
        <v>814</v>
      </c>
      <c r="N130" s="65">
        <f>AVERAGE(1804,1900,2200,500,2699,1925,2101)</f>
        <v>1875.5714285714287</v>
      </c>
      <c r="O130" s="25" t="s">
        <v>814</v>
      </c>
      <c r="P130" s="65">
        <v>1000</v>
      </c>
      <c r="Q130" s="25" t="s">
        <v>1153</v>
      </c>
      <c r="R130" s="50" t="s">
        <v>30</v>
      </c>
      <c r="S130" s="65" t="s">
        <v>14</v>
      </c>
      <c r="T130" s="25" t="s">
        <v>14</v>
      </c>
      <c r="U130" s="50" t="s">
        <v>14</v>
      </c>
    </row>
    <row r="131" spans="1:21" ht="12.6" customHeight="1">
      <c r="A131" s="67" t="s">
        <v>117</v>
      </c>
      <c r="B131" s="67" t="s">
        <v>650</v>
      </c>
      <c r="C131" s="36">
        <v>300</v>
      </c>
      <c r="D131" s="71">
        <v>4</v>
      </c>
      <c r="E131" s="36">
        <f t="shared" si="7"/>
        <v>480</v>
      </c>
      <c r="F131" s="69" t="s">
        <v>118</v>
      </c>
      <c r="G131" s="59">
        <v>4</v>
      </c>
      <c r="H131" s="40">
        <v>0.85</v>
      </c>
      <c r="I131" s="36">
        <v>132</v>
      </c>
      <c r="J131" s="36">
        <v>84</v>
      </c>
      <c r="K131" s="36">
        <v>77</v>
      </c>
      <c r="L131" s="61">
        <f>AVERAGE(370,395,439,375,395,444,485,445,397)</f>
        <v>416.11111111111109</v>
      </c>
      <c r="M131" s="52" t="s">
        <v>1091</v>
      </c>
      <c r="N131" s="61">
        <f>AVERAGE(650,500,668,578,699,620,590)</f>
        <v>615</v>
      </c>
      <c r="O131" s="36" t="s">
        <v>874</v>
      </c>
      <c r="P131" s="61">
        <v>425</v>
      </c>
      <c r="Q131" s="36" t="s">
        <v>1153</v>
      </c>
      <c r="R131" s="52" t="s">
        <v>26</v>
      </c>
      <c r="S131" s="61" t="s">
        <v>14</v>
      </c>
      <c r="T131" s="36" t="s">
        <v>14</v>
      </c>
      <c r="U131" s="52" t="s">
        <v>14</v>
      </c>
    </row>
    <row r="132" spans="1:21" s="26" customFormat="1" ht="12.6" customHeight="1">
      <c r="A132" s="73" t="s">
        <v>117</v>
      </c>
      <c r="B132" s="73" t="s">
        <v>200</v>
      </c>
      <c r="C132" s="10">
        <v>400</v>
      </c>
      <c r="D132" s="10">
        <v>2.8</v>
      </c>
      <c r="E132" s="9">
        <f t="shared" si="7"/>
        <v>640</v>
      </c>
      <c r="F132" s="74" t="s">
        <v>118</v>
      </c>
      <c r="G132" s="75">
        <v>4.5</v>
      </c>
      <c r="H132" s="76">
        <v>6</v>
      </c>
      <c r="I132" s="9">
        <v>325</v>
      </c>
      <c r="J132" s="9">
        <v>165</v>
      </c>
      <c r="K132" s="9">
        <v>49</v>
      </c>
      <c r="L132" s="65">
        <f>AVERAGE(2377,2225)</f>
        <v>2301</v>
      </c>
      <c r="M132" s="25" t="s">
        <v>709</v>
      </c>
      <c r="N132" s="65">
        <f>AVERAGE(4400)</f>
        <v>4400</v>
      </c>
      <c r="O132" s="25" t="s">
        <v>1002</v>
      </c>
      <c r="P132" s="77">
        <v>2900</v>
      </c>
      <c r="Q132" s="126" t="s">
        <v>681</v>
      </c>
      <c r="R132" s="78" t="s">
        <v>28</v>
      </c>
      <c r="S132" s="65">
        <v>3900</v>
      </c>
      <c r="T132" s="25" t="s">
        <v>333</v>
      </c>
      <c r="U132" s="50" t="s">
        <v>30</v>
      </c>
    </row>
    <row r="133" spans="1:21" s="26" customFormat="1" ht="12.6" customHeight="1">
      <c r="A133" s="73" t="s">
        <v>117</v>
      </c>
      <c r="B133" s="46" t="s">
        <v>539</v>
      </c>
      <c r="C133" s="9">
        <v>400</v>
      </c>
      <c r="D133" s="10">
        <v>5.6</v>
      </c>
      <c r="E133" s="50">
        <f t="shared" si="7"/>
        <v>640</v>
      </c>
      <c r="F133" s="9" t="s">
        <v>115</v>
      </c>
      <c r="G133" s="75">
        <v>5</v>
      </c>
      <c r="H133" s="76">
        <v>1.22</v>
      </c>
      <c r="I133" s="9">
        <v>277</v>
      </c>
      <c r="J133" s="9">
        <v>85</v>
      </c>
      <c r="K133" s="10">
        <v>77</v>
      </c>
      <c r="L133" s="65">
        <f>AVERAGE(413,335,298,339,245,250,335,300)</f>
        <v>314.375</v>
      </c>
      <c r="M133" s="25" t="s">
        <v>1005</v>
      </c>
      <c r="N133" s="65">
        <f>AVERAGE(436,518,399)</f>
        <v>451</v>
      </c>
      <c r="O133" s="118" t="s">
        <v>1171</v>
      </c>
      <c r="P133" s="65">
        <f>499*CA.US</f>
        <v>379.24</v>
      </c>
      <c r="Q133" s="25" t="s">
        <v>702</v>
      </c>
      <c r="R133" s="50" t="s">
        <v>537</v>
      </c>
      <c r="S133" s="65">
        <v>600</v>
      </c>
      <c r="T133" s="25" t="s">
        <v>892</v>
      </c>
      <c r="U133" s="50" t="s">
        <v>400</v>
      </c>
    </row>
    <row r="134" spans="1:21" s="26" customFormat="1" ht="12.6" customHeight="1">
      <c r="A134" s="73" t="s">
        <v>117</v>
      </c>
      <c r="B134" s="73" t="s">
        <v>119</v>
      </c>
      <c r="C134" s="10">
        <v>500</v>
      </c>
      <c r="D134" s="10">
        <v>4.5</v>
      </c>
      <c r="E134" s="9">
        <f t="shared" si="7"/>
        <v>800</v>
      </c>
      <c r="F134" s="74" t="s">
        <v>115</v>
      </c>
      <c r="G134" s="75">
        <v>10</v>
      </c>
      <c r="H134" s="76">
        <v>3.37</v>
      </c>
      <c r="I134" s="9">
        <v>440</v>
      </c>
      <c r="J134" s="9">
        <v>127</v>
      </c>
      <c r="K134" s="9">
        <v>52</v>
      </c>
      <c r="L134" s="65">
        <f>AVERAGE(400,330)</f>
        <v>365</v>
      </c>
      <c r="M134" s="118" t="s">
        <v>1153</v>
      </c>
      <c r="N134" s="65">
        <f>AVERAGE(500,580)</f>
        <v>540</v>
      </c>
      <c r="O134" s="118" t="s">
        <v>1153</v>
      </c>
      <c r="P134" s="9">
        <v>415</v>
      </c>
      <c r="Q134" s="25" t="s">
        <v>592</v>
      </c>
      <c r="R134" s="9" t="s">
        <v>28</v>
      </c>
      <c r="S134" s="65">
        <v>800</v>
      </c>
      <c r="T134" s="25" t="s">
        <v>874</v>
      </c>
      <c r="U134" s="50" t="s">
        <v>30</v>
      </c>
    </row>
    <row r="135" spans="1:21" s="26" customFormat="1" ht="12.6" customHeight="1">
      <c r="A135" s="73" t="s">
        <v>117</v>
      </c>
      <c r="B135" s="73" t="s">
        <v>661</v>
      </c>
      <c r="C135" s="10">
        <v>600</v>
      </c>
      <c r="D135" s="10">
        <v>4</v>
      </c>
      <c r="E135" s="9">
        <f t="shared" si="7"/>
        <v>960</v>
      </c>
      <c r="F135" s="74" t="s">
        <v>631</v>
      </c>
      <c r="G135" s="75">
        <v>5</v>
      </c>
      <c r="H135" s="76">
        <v>6.8</v>
      </c>
      <c r="I135" s="9">
        <v>457</v>
      </c>
      <c r="J135" s="9">
        <v>176</v>
      </c>
      <c r="K135" s="198" t="s">
        <v>662</v>
      </c>
      <c r="L135" s="65">
        <f>AVERAGE(4300,4800,4261,5170)</f>
        <v>4632.75</v>
      </c>
      <c r="M135" s="25" t="s">
        <v>920</v>
      </c>
      <c r="N135" s="65">
        <f>AVERAGE(6500,8800)</f>
        <v>7650</v>
      </c>
      <c r="O135" s="25" t="s">
        <v>688</v>
      </c>
      <c r="P135" s="9" t="s">
        <v>14</v>
      </c>
      <c r="Q135" s="25" t="s">
        <v>14</v>
      </c>
      <c r="R135" s="9" t="s">
        <v>14</v>
      </c>
      <c r="S135" s="65" t="s">
        <v>14</v>
      </c>
      <c r="T135" s="25" t="s">
        <v>14</v>
      </c>
      <c r="U135" s="50" t="s">
        <v>14</v>
      </c>
    </row>
    <row r="136" spans="1:21" ht="12.6" customHeight="1">
      <c r="A136" s="67" t="s">
        <v>117</v>
      </c>
      <c r="B136" s="67" t="s">
        <v>805</v>
      </c>
      <c r="C136" s="36">
        <v>600</v>
      </c>
      <c r="D136" s="71">
        <v>5.6</v>
      </c>
      <c r="E136" s="36">
        <f t="shared" si="7"/>
        <v>960</v>
      </c>
      <c r="F136" s="69" t="s">
        <v>118</v>
      </c>
      <c r="G136" s="59">
        <v>5.5</v>
      </c>
      <c r="H136" s="40">
        <v>3.28</v>
      </c>
      <c r="I136" s="36">
        <v>386</v>
      </c>
      <c r="J136" s="36">
        <v>133</v>
      </c>
      <c r="K136" s="199" t="s">
        <v>335</v>
      </c>
      <c r="L136" s="61">
        <f>AVERAGE(1378,1790)</f>
        <v>1584</v>
      </c>
      <c r="M136" s="52" t="s">
        <v>1153</v>
      </c>
      <c r="N136" s="61">
        <f>AVERAGE(1980)</f>
        <v>1980</v>
      </c>
      <c r="O136" s="52" t="s">
        <v>1110</v>
      </c>
      <c r="P136" s="36">
        <v>1695</v>
      </c>
      <c r="Q136" s="36" t="s">
        <v>328</v>
      </c>
      <c r="R136" s="52" t="s">
        <v>27</v>
      </c>
      <c r="S136" s="61" t="s">
        <v>14</v>
      </c>
      <c r="T136" s="36" t="s">
        <v>14</v>
      </c>
      <c r="U136" s="52" t="s">
        <v>14</v>
      </c>
    </row>
    <row r="137" spans="1:21" ht="12.6" customHeight="1">
      <c r="A137" s="119" t="s">
        <v>1166</v>
      </c>
      <c r="B137" s="57"/>
      <c r="C137" s="36" t="s">
        <v>14</v>
      </c>
      <c r="D137" s="152" t="s">
        <v>14</v>
      </c>
      <c r="E137" s="41" t="s">
        <v>14</v>
      </c>
      <c r="F137" s="68" t="s">
        <v>14</v>
      </c>
      <c r="G137" s="41" t="s">
        <v>14</v>
      </c>
      <c r="H137" s="40" t="s">
        <v>14</v>
      </c>
      <c r="I137" s="36" t="s">
        <v>14</v>
      </c>
      <c r="J137" s="36" t="s">
        <v>14</v>
      </c>
      <c r="K137" s="36" t="s">
        <v>14</v>
      </c>
      <c r="L137" s="36" t="s">
        <v>14</v>
      </c>
      <c r="M137" s="36" t="s">
        <v>14</v>
      </c>
      <c r="N137" s="36" t="s">
        <v>14</v>
      </c>
      <c r="O137" s="36" t="s">
        <v>14</v>
      </c>
      <c r="P137" s="36" t="s">
        <v>14</v>
      </c>
      <c r="Q137" s="36" t="s">
        <v>14</v>
      </c>
      <c r="R137" s="36" t="s">
        <v>14</v>
      </c>
      <c r="S137" s="36" t="s">
        <v>14</v>
      </c>
      <c r="T137" s="36" t="s">
        <v>14</v>
      </c>
      <c r="U137" s="36" t="s">
        <v>14</v>
      </c>
    </row>
    <row r="138" spans="1:21" ht="11.25">
      <c r="A138" s="26" t="s">
        <v>1138</v>
      </c>
      <c r="B138" s="26" t="s">
        <v>1152</v>
      </c>
      <c r="C138" s="9">
        <v>21</v>
      </c>
      <c r="D138" s="10">
        <v>2.8</v>
      </c>
      <c r="E138" s="9">
        <f t="shared" ref="E138:E150" si="8">C138*1.6</f>
        <v>33.6</v>
      </c>
      <c r="F138" s="149" t="s">
        <v>1139</v>
      </c>
      <c r="G138" s="75">
        <v>0.2</v>
      </c>
      <c r="H138" s="76">
        <v>0.215</v>
      </c>
      <c r="I138" s="9">
        <v>39</v>
      </c>
      <c r="J138" s="9">
        <v>62</v>
      </c>
      <c r="K138" s="50">
        <v>55</v>
      </c>
      <c r="L138" s="9">
        <f>AVERAGE(479)</f>
        <v>479</v>
      </c>
      <c r="M138" s="50" t="s">
        <v>1110</v>
      </c>
      <c r="N138" s="9">
        <f>AVERAGE(599)</f>
        <v>599</v>
      </c>
      <c r="O138" s="9" t="s">
        <v>1110</v>
      </c>
      <c r="P138" s="65" t="s">
        <v>14</v>
      </c>
      <c r="Q138" s="9" t="s">
        <v>14</v>
      </c>
      <c r="R138" s="50" t="s">
        <v>14</v>
      </c>
      <c r="S138" s="136" t="s">
        <v>14</v>
      </c>
      <c r="T138" s="9" t="s">
        <v>14</v>
      </c>
      <c r="U138" s="50" t="s">
        <v>14</v>
      </c>
    </row>
    <row r="139" spans="1:21" ht="12.6" customHeight="1">
      <c r="A139" s="26" t="s">
        <v>1138</v>
      </c>
      <c r="B139" s="73" t="s">
        <v>1151</v>
      </c>
      <c r="C139" s="9">
        <v>24</v>
      </c>
      <c r="D139" s="47">
        <v>2.8</v>
      </c>
      <c r="E139" s="9">
        <f t="shared" si="8"/>
        <v>38.400000000000006</v>
      </c>
      <c r="F139" s="149" t="s">
        <v>1139</v>
      </c>
      <c r="G139" s="75">
        <v>0.25</v>
      </c>
      <c r="H139" s="76">
        <v>0.28000000000000003</v>
      </c>
      <c r="I139" s="9">
        <v>54</v>
      </c>
      <c r="J139" s="162">
        <v>62</v>
      </c>
      <c r="K139" s="50">
        <v>55</v>
      </c>
      <c r="L139" s="9">
        <f>AVERAGE(76)</f>
        <v>76</v>
      </c>
      <c r="M139" s="50" t="s">
        <v>1153</v>
      </c>
      <c r="N139" s="9">
        <f>AVERAGE(173,179)</f>
        <v>176</v>
      </c>
      <c r="O139" s="9" t="s">
        <v>1118</v>
      </c>
      <c r="P139" s="65" t="s">
        <v>14</v>
      </c>
      <c r="Q139" s="9" t="s">
        <v>14</v>
      </c>
      <c r="R139" s="50" t="s">
        <v>14</v>
      </c>
      <c r="S139" s="65" t="s">
        <v>14</v>
      </c>
      <c r="T139" s="9" t="s">
        <v>14</v>
      </c>
      <c r="U139" s="50" t="s">
        <v>14</v>
      </c>
    </row>
    <row r="140" spans="1:21" ht="12.6" customHeight="1">
      <c r="A140" s="26" t="s">
        <v>1138</v>
      </c>
      <c r="B140" s="73" t="s">
        <v>1150</v>
      </c>
      <c r="C140" s="9">
        <v>24</v>
      </c>
      <c r="D140" s="47">
        <v>2.8</v>
      </c>
      <c r="E140" s="9">
        <f t="shared" si="8"/>
        <v>38.400000000000006</v>
      </c>
      <c r="F140" s="149" t="s">
        <v>1139</v>
      </c>
      <c r="G140" s="75">
        <v>0.25</v>
      </c>
      <c r="H140" s="76">
        <v>0.20499999999999999</v>
      </c>
      <c r="I140" s="9">
        <v>36</v>
      </c>
      <c r="J140" s="162">
        <v>62</v>
      </c>
      <c r="K140" s="50">
        <v>55</v>
      </c>
      <c r="L140" s="9">
        <f>AVERAGE(112)</f>
        <v>112</v>
      </c>
      <c r="M140" s="50" t="s">
        <v>1110</v>
      </c>
      <c r="N140" s="9">
        <f>AVERAGE(0)</f>
        <v>0</v>
      </c>
      <c r="O140" s="9" t="s">
        <v>14</v>
      </c>
      <c r="P140" s="65" t="s">
        <v>14</v>
      </c>
      <c r="Q140" s="9" t="s">
        <v>14</v>
      </c>
      <c r="R140" s="50" t="s">
        <v>14</v>
      </c>
      <c r="S140" s="65" t="s">
        <v>14</v>
      </c>
      <c r="T140" s="9" t="s">
        <v>14</v>
      </c>
      <c r="U140" s="50" t="s">
        <v>14</v>
      </c>
    </row>
    <row r="141" spans="1:21" ht="12.6" customHeight="1">
      <c r="A141" s="26" t="s">
        <v>1138</v>
      </c>
      <c r="B141" s="73" t="s">
        <v>1142</v>
      </c>
      <c r="C141" s="9">
        <v>28</v>
      </c>
      <c r="D141" s="47" t="s">
        <v>63</v>
      </c>
      <c r="E141" s="9">
        <f t="shared" si="8"/>
        <v>44.800000000000004</v>
      </c>
      <c r="F141" s="149" t="s">
        <v>1139</v>
      </c>
      <c r="G141" s="75">
        <v>0.18</v>
      </c>
      <c r="H141" s="76">
        <v>0.38</v>
      </c>
      <c r="I141" s="9">
        <v>63</v>
      </c>
      <c r="J141" s="162">
        <v>62</v>
      </c>
      <c r="K141" s="50">
        <v>55</v>
      </c>
      <c r="L141" s="9">
        <f>AVERAGE(605,417)</f>
        <v>511</v>
      </c>
      <c r="M141" s="50" t="s">
        <v>1118</v>
      </c>
      <c r="N141" s="9">
        <f>AVERAGE(1200)</f>
        <v>1200</v>
      </c>
      <c r="O141" s="9" t="s">
        <v>1153</v>
      </c>
      <c r="P141" s="65" t="s">
        <v>14</v>
      </c>
      <c r="Q141" s="9" t="s">
        <v>14</v>
      </c>
      <c r="R141" s="50" t="s">
        <v>14</v>
      </c>
      <c r="S141" s="65" t="s">
        <v>14</v>
      </c>
      <c r="T141" s="9" t="s">
        <v>14</v>
      </c>
      <c r="U141" s="50" t="s">
        <v>14</v>
      </c>
    </row>
    <row r="142" spans="1:21" ht="12.6" customHeight="1">
      <c r="A142" s="26" t="s">
        <v>1138</v>
      </c>
      <c r="B142" s="73" t="s">
        <v>1140</v>
      </c>
      <c r="C142" s="9">
        <v>40</v>
      </c>
      <c r="D142" s="47" t="s">
        <v>63</v>
      </c>
      <c r="E142" s="9">
        <f t="shared" si="8"/>
        <v>64</v>
      </c>
      <c r="F142" s="149" t="s">
        <v>1139</v>
      </c>
      <c r="G142" s="75">
        <v>0.45</v>
      </c>
      <c r="H142" s="76">
        <v>0.14000000000000001</v>
      </c>
      <c r="I142" s="9">
        <v>27</v>
      </c>
      <c r="J142" s="162">
        <v>62</v>
      </c>
      <c r="K142" s="50">
        <v>55</v>
      </c>
      <c r="L142" s="9">
        <f>AVERAGE(50,41,43,45,37,49,40,36)</f>
        <v>42.625</v>
      </c>
      <c r="M142" s="50" t="s">
        <v>1171</v>
      </c>
      <c r="N142" s="9">
        <f>AVERAGE(90,56,60,65)</f>
        <v>67.75</v>
      </c>
      <c r="O142" s="9" t="s">
        <v>1171</v>
      </c>
      <c r="P142" s="65" t="s">
        <v>14</v>
      </c>
      <c r="Q142" s="9" t="s">
        <v>14</v>
      </c>
      <c r="R142" s="50" t="s">
        <v>14</v>
      </c>
      <c r="S142" s="65" t="s">
        <v>14</v>
      </c>
      <c r="T142" s="9" t="s">
        <v>14</v>
      </c>
      <c r="U142" s="50" t="s">
        <v>14</v>
      </c>
    </row>
    <row r="143" spans="1:21" ht="12.6" customHeight="1">
      <c r="A143" s="26" t="s">
        <v>1138</v>
      </c>
      <c r="B143" s="73" t="s">
        <v>1145</v>
      </c>
      <c r="C143" s="9">
        <v>50</v>
      </c>
      <c r="D143" s="47">
        <v>1.7</v>
      </c>
      <c r="E143" s="9">
        <f t="shared" si="8"/>
        <v>80</v>
      </c>
      <c r="F143" s="149" t="s">
        <v>1139</v>
      </c>
      <c r="G143" s="75">
        <v>0.45</v>
      </c>
      <c r="H143" s="76">
        <v>0.24</v>
      </c>
      <c r="I143" s="9">
        <v>45</v>
      </c>
      <c r="J143" s="162">
        <v>62</v>
      </c>
      <c r="K143" s="50">
        <v>55</v>
      </c>
      <c r="L143" s="9">
        <f>AVERAGE(35,39,47)</f>
        <v>40.333333333333336</v>
      </c>
      <c r="M143" s="50" t="s">
        <v>1153</v>
      </c>
      <c r="N143" s="9">
        <f>AVERAGE(0)</f>
        <v>0</v>
      </c>
      <c r="O143" s="9" t="s">
        <v>14</v>
      </c>
      <c r="P143" s="65" t="s">
        <v>14</v>
      </c>
      <c r="Q143" s="9" t="s">
        <v>14</v>
      </c>
      <c r="R143" s="50" t="s">
        <v>14</v>
      </c>
      <c r="S143" s="65" t="s">
        <v>14</v>
      </c>
      <c r="T143" s="9" t="s">
        <v>14</v>
      </c>
      <c r="U143" s="50" t="s">
        <v>14</v>
      </c>
    </row>
    <row r="144" spans="1:21" ht="12.6" customHeight="1">
      <c r="A144" s="26" t="s">
        <v>1138</v>
      </c>
      <c r="B144" s="73" t="s">
        <v>1146</v>
      </c>
      <c r="C144" s="9">
        <v>50</v>
      </c>
      <c r="D144" s="47">
        <v>1.7</v>
      </c>
      <c r="E144" s="9">
        <f t="shared" si="8"/>
        <v>80</v>
      </c>
      <c r="F144" s="149" t="s">
        <v>1139</v>
      </c>
      <c r="G144" s="75">
        <v>0.55000000000000004</v>
      </c>
      <c r="H144" s="76">
        <v>0.21</v>
      </c>
      <c r="I144" s="9">
        <v>40</v>
      </c>
      <c r="J144" s="162">
        <v>62</v>
      </c>
      <c r="K144" s="50">
        <v>55</v>
      </c>
      <c r="L144" s="9">
        <f>AVERAGE(40,43)</f>
        <v>41.5</v>
      </c>
      <c r="M144" s="50" t="s">
        <v>1153</v>
      </c>
      <c r="N144" s="9">
        <f>AVERAGE(45)</f>
        <v>45</v>
      </c>
      <c r="O144" s="9" t="s">
        <v>1118</v>
      </c>
      <c r="P144" s="65" t="s">
        <v>14</v>
      </c>
      <c r="Q144" s="9" t="s">
        <v>14</v>
      </c>
      <c r="R144" s="50" t="s">
        <v>14</v>
      </c>
      <c r="S144" s="65" t="s">
        <v>14</v>
      </c>
      <c r="T144" s="9" t="s">
        <v>14</v>
      </c>
      <c r="U144" s="50" t="s">
        <v>14</v>
      </c>
    </row>
    <row r="145" spans="1:21" ht="12.6" customHeight="1">
      <c r="A145" s="26" t="s">
        <v>1138</v>
      </c>
      <c r="B145" s="73" t="s">
        <v>1143</v>
      </c>
      <c r="C145" s="9">
        <v>55</v>
      </c>
      <c r="D145" s="47">
        <v>3.5</v>
      </c>
      <c r="E145" s="9">
        <f t="shared" si="8"/>
        <v>88</v>
      </c>
      <c r="F145" s="149" t="s">
        <v>1139</v>
      </c>
      <c r="G145" s="75">
        <v>0.25</v>
      </c>
      <c r="H145" s="76">
        <v>0.28999999999999998</v>
      </c>
      <c r="I145" s="9">
        <v>69</v>
      </c>
      <c r="J145" s="162">
        <v>62</v>
      </c>
      <c r="K145" s="50">
        <v>55</v>
      </c>
      <c r="L145" s="9">
        <f>AVERAGE(60,59,59)</f>
        <v>59.333333333333336</v>
      </c>
      <c r="M145" s="50" t="s">
        <v>1153</v>
      </c>
      <c r="N145" s="9">
        <f>AVERAGE(65)</f>
        <v>65</v>
      </c>
      <c r="O145" s="9" t="s">
        <v>1110</v>
      </c>
      <c r="P145" s="65" t="s">
        <v>14</v>
      </c>
      <c r="Q145" s="9" t="s">
        <v>14</v>
      </c>
      <c r="R145" s="50" t="s">
        <v>14</v>
      </c>
      <c r="S145" s="65" t="s">
        <v>14</v>
      </c>
      <c r="T145" s="9" t="s">
        <v>14</v>
      </c>
      <c r="U145" s="50" t="s">
        <v>14</v>
      </c>
    </row>
    <row r="146" spans="1:21" ht="12.6" customHeight="1">
      <c r="A146" s="26" t="s">
        <v>1138</v>
      </c>
      <c r="B146" s="73" t="s">
        <v>1149</v>
      </c>
      <c r="C146" s="9">
        <v>57</v>
      </c>
      <c r="D146" s="47">
        <v>1.2</v>
      </c>
      <c r="E146" s="9">
        <f t="shared" si="8"/>
        <v>91.2</v>
      </c>
      <c r="F146" s="149" t="s">
        <v>1139</v>
      </c>
      <c r="G146" s="75">
        <v>0.45</v>
      </c>
      <c r="H146" s="76">
        <v>0.46</v>
      </c>
      <c r="I146" s="9">
        <v>50</v>
      </c>
      <c r="J146" s="162">
        <v>69</v>
      </c>
      <c r="K146" s="50">
        <v>62</v>
      </c>
      <c r="L146" s="9">
        <v>294</v>
      </c>
      <c r="M146" s="50" t="s">
        <v>1171</v>
      </c>
      <c r="N146" s="9">
        <f>AVERAGE(380,415,399,499)</f>
        <v>423.25</v>
      </c>
      <c r="O146" s="9" t="s">
        <v>1171</v>
      </c>
      <c r="P146" s="65" t="s">
        <v>14</v>
      </c>
      <c r="Q146" s="9" t="s">
        <v>14</v>
      </c>
      <c r="R146" s="50" t="s">
        <v>14</v>
      </c>
      <c r="S146" s="65" t="s">
        <v>14</v>
      </c>
      <c r="T146" s="9" t="s">
        <v>14</v>
      </c>
      <c r="U146" s="50" t="s">
        <v>14</v>
      </c>
    </row>
    <row r="147" spans="1:21" ht="12.6" customHeight="1">
      <c r="A147" s="26" t="s">
        <v>1138</v>
      </c>
      <c r="B147" s="73" t="s">
        <v>1144</v>
      </c>
      <c r="C147" s="9">
        <v>85</v>
      </c>
      <c r="D147" s="47">
        <v>1.8</v>
      </c>
      <c r="E147" s="9">
        <f t="shared" si="8"/>
        <v>136</v>
      </c>
      <c r="F147" s="149" t="s">
        <v>1139</v>
      </c>
      <c r="G147" s="75">
        <v>1</v>
      </c>
      <c r="H147" s="76">
        <v>0.39</v>
      </c>
      <c r="I147" s="9">
        <v>67</v>
      </c>
      <c r="J147" s="162">
        <v>69</v>
      </c>
      <c r="K147" s="50">
        <v>58</v>
      </c>
      <c r="L147" s="9">
        <f>AVERAGE(169)</f>
        <v>169</v>
      </c>
      <c r="M147" s="50" t="s">
        <v>1153</v>
      </c>
      <c r="N147" s="9">
        <f>AVERAGE(220)</f>
        <v>220</v>
      </c>
      <c r="O147" s="9" t="s">
        <v>1110</v>
      </c>
      <c r="P147" s="65" t="s">
        <v>14</v>
      </c>
      <c r="Q147" s="9" t="s">
        <v>14</v>
      </c>
      <c r="R147" s="50" t="s">
        <v>14</v>
      </c>
      <c r="S147" s="65" t="s">
        <v>14</v>
      </c>
      <c r="T147" s="9" t="s">
        <v>14</v>
      </c>
      <c r="U147" s="50" t="s">
        <v>14</v>
      </c>
    </row>
    <row r="148" spans="1:21" ht="12.6" customHeight="1">
      <c r="A148" s="26" t="s">
        <v>1138</v>
      </c>
      <c r="B148" s="73" t="s">
        <v>1141</v>
      </c>
      <c r="C148" s="9">
        <v>85</v>
      </c>
      <c r="D148" s="47">
        <v>1.8</v>
      </c>
      <c r="E148" s="9">
        <f t="shared" si="8"/>
        <v>136</v>
      </c>
      <c r="F148" s="149" t="s">
        <v>1139</v>
      </c>
      <c r="G148" s="75">
        <v>1</v>
      </c>
      <c r="H148" s="76">
        <v>0.4</v>
      </c>
      <c r="I148" s="9">
        <v>67</v>
      </c>
      <c r="J148" s="162">
        <v>69</v>
      </c>
      <c r="K148" s="50">
        <v>55</v>
      </c>
      <c r="L148" s="9">
        <f>AVERAGE(155)</f>
        <v>155</v>
      </c>
      <c r="M148" s="50" t="s">
        <v>1153</v>
      </c>
      <c r="N148" s="9">
        <f>AVERAGE(299)</f>
        <v>299</v>
      </c>
      <c r="O148" s="9" t="s">
        <v>1153</v>
      </c>
      <c r="P148" s="65" t="s">
        <v>14</v>
      </c>
      <c r="Q148" s="9" t="s">
        <v>14</v>
      </c>
      <c r="R148" s="50" t="s">
        <v>14</v>
      </c>
      <c r="S148" s="65" t="s">
        <v>14</v>
      </c>
      <c r="T148" s="9" t="s">
        <v>14</v>
      </c>
      <c r="U148" s="50" t="s">
        <v>14</v>
      </c>
    </row>
    <row r="149" spans="1:21" ht="12.6" customHeight="1">
      <c r="A149" s="26" t="s">
        <v>1138</v>
      </c>
      <c r="B149" s="73" t="s">
        <v>1137</v>
      </c>
      <c r="C149" s="9">
        <v>100</v>
      </c>
      <c r="D149" s="47" t="s">
        <v>144</v>
      </c>
      <c r="E149" s="9">
        <f t="shared" si="8"/>
        <v>160</v>
      </c>
      <c r="F149" s="149" t="s">
        <v>1139</v>
      </c>
      <c r="G149" s="75">
        <v>1</v>
      </c>
      <c r="H149" s="76">
        <v>0.28999999999999998</v>
      </c>
      <c r="I149" s="9">
        <v>62</v>
      </c>
      <c r="J149" s="162">
        <v>62</v>
      </c>
      <c r="K149" s="50">
        <v>55</v>
      </c>
      <c r="L149" s="9">
        <f>AVERAGE(129)</f>
        <v>129</v>
      </c>
      <c r="M149" s="50" t="s">
        <v>1153</v>
      </c>
      <c r="N149" s="9">
        <f>AVERAGE(0)</f>
        <v>0</v>
      </c>
      <c r="O149" s="9" t="s">
        <v>14</v>
      </c>
      <c r="P149" s="65" t="s">
        <v>14</v>
      </c>
      <c r="Q149" s="9" t="s">
        <v>14</v>
      </c>
      <c r="R149" s="50" t="s">
        <v>14</v>
      </c>
      <c r="S149" s="65" t="s">
        <v>14</v>
      </c>
      <c r="T149" s="9" t="s">
        <v>14</v>
      </c>
      <c r="U149" s="50" t="s">
        <v>14</v>
      </c>
    </row>
    <row r="150" spans="1:21" s="21" customFormat="1" ht="12.6" customHeight="1">
      <c r="A150" s="67" t="s">
        <v>1138</v>
      </c>
      <c r="B150" s="67" t="s">
        <v>1148</v>
      </c>
      <c r="C150" s="36">
        <v>135</v>
      </c>
      <c r="D150" s="41">
        <v>2</v>
      </c>
      <c r="E150" s="52">
        <f t="shared" si="8"/>
        <v>216</v>
      </c>
      <c r="F150" s="60" t="s">
        <v>1139</v>
      </c>
      <c r="G150" s="59">
        <v>1.2</v>
      </c>
      <c r="H150" s="40">
        <v>0.65</v>
      </c>
      <c r="I150" s="36">
        <v>96</v>
      </c>
      <c r="J150" s="163">
        <v>69</v>
      </c>
      <c r="K150" s="52">
        <v>62</v>
      </c>
      <c r="L150" s="61">
        <f>AVERAGE(125,75,100)</f>
        <v>100</v>
      </c>
      <c r="M150" s="52" t="s">
        <v>1118</v>
      </c>
      <c r="N150" s="36">
        <f>AVERAGE(0)</f>
        <v>0</v>
      </c>
      <c r="O150" s="36" t="s">
        <v>14</v>
      </c>
      <c r="P150" s="61" t="s">
        <v>14</v>
      </c>
      <c r="Q150" s="36" t="s">
        <v>14</v>
      </c>
      <c r="R150" s="52" t="s">
        <v>14</v>
      </c>
      <c r="S150" s="151" t="s">
        <v>14</v>
      </c>
      <c r="T150" s="36" t="s">
        <v>14</v>
      </c>
      <c r="U150" s="52" t="s">
        <v>14</v>
      </c>
    </row>
    <row r="151" spans="1:21" s="26" customFormat="1" ht="12.6" customHeight="1">
      <c r="A151" s="137" t="s">
        <v>523</v>
      </c>
      <c r="B151" s="130"/>
      <c r="C151" s="43"/>
      <c r="D151" s="131"/>
      <c r="E151" s="43"/>
      <c r="F151" s="135" t="s">
        <v>14</v>
      </c>
      <c r="G151" s="138" t="s">
        <v>14</v>
      </c>
      <c r="H151" s="134" t="s">
        <v>14</v>
      </c>
      <c r="I151" s="43" t="s">
        <v>14</v>
      </c>
      <c r="J151" s="43" t="s">
        <v>14</v>
      </c>
      <c r="K151" s="43" t="s">
        <v>14</v>
      </c>
      <c r="L151" s="43" t="s">
        <v>14</v>
      </c>
      <c r="M151" s="43" t="s">
        <v>14</v>
      </c>
      <c r="N151" s="43" t="s">
        <v>14</v>
      </c>
      <c r="O151" s="43" t="s">
        <v>14</v>
      </c>
      <c r="P151" s="43" t="s">
        <v>14</v>
      </c>
      <c r="Q151" s="43" t="s">
        <v>14</v>
      </c>
      <c r="R151" s="43" t="s">
        <v>14</v>
      </c>
      <c r="S151" s="43" t="s">
        <v>14</v>
      </c>
      <c r="T151" s="43" t="s">
        <v>14</v>
      </c>
      <c r="U151" s="43" t="s">
        <v>14</v>
      </c>
    </row>
    <row r="152" spans="1:21" s="26" customFormat="1" ht="12.6" customHeight="1">
      <c r="A152" s="67" t="s">
        <v>524</v>
      </c>
      <c r="B152" s="67" t="s">
        <v>575</v>
      </c>
      <c r="C152" s="71">
        <v>58</v>
      </c>
      <c r="D152" s="71">
        <v>1.2</v>
      </c>
      <c r="E152" s="36">
        <f>C152*1.6</f>
        <v>92.800000000000011</v>
      </c>
      <c r="F152" s="72" t="s">
        <v>663</v>
      </c>
      <c r="G152" s="59">
        <v>0.6</v>
      </c>
      <c r="H152" s="40">
        <v>0.45500000000000002</v>
      </c>
      <c r="I152" s="36">
        <v>54</v>
      </c>
      <c r="J152" s="36">
        <v>69</v>
      </c>
      <c r="K152" s="36">
        <v>55</v>
      </c>
      <c r="L152" s="61">
        <f>AVERAGE(399,399,305,474,487,330,360,398,320,475,312,340,372)</f>
        <v>382.38461538461536</v>
      </c>
      <c r="M152" s="168" t="s">
        <v>1153</v>
      </c>
      <c r="N152" s="61">
        <f>AVERAGE(500,600,500,479,599,465,578,549,600,630,584)</f>
        <v>553.09090909090912</v>
      </c>
      <c r="O152" s="168" t="s">
        <v>1171</v>
      </c>
      <c r="P152" s="36">
        <v>450</v>
      </c>
      <c r="Q152" s="68" t="s">
        <v>577</v>
      </c>
      <c r="R152" s="36" t="s">
        <v>30</v>
      </c>
      <c r="S152" s="61" t="s">
        <v>14</v>
      </c>
      <c r="T152" s="68" t="s">
        <v>14</v>
      </c>
      <c r="U152" s="52" t="s">
        <v>14</v>
      </c>
    </row>
    <row r="153" spans="1:21" ht="12.6" customHeight="1">
      <c r="A153" s="73" t="s">
        <v>384</v>
      </c>
      <c r="B153" s="73" t="s">
        <v>927</v>
      </c>
      <c r="C153" s="9">
        <v>14</v>
      </c>
      <c r="D153" s="10">
        <v>2.4</v>
      </c>
      <c r="E153" s="9">
        <f t="shared" ref="E153" si="9">C153*1.6</f>
        <v>22.400000000000002</v>
      </c>
      <c r="F153" s="64" t="s">
        <v>522</v>
      </c>
      <c r="G153" s="75">
        <v>0.28000000000000003</v>
      </c>
      <c r="H153" s="76">
        <v>0.79100000000000004</v>
      </c>
      <c r="I153" s="9">
        <v>109.4</v>
      </c>
      <c r="J153" s="9">
        <v>95</v>
      </c>
      <c r="K153" s="50" t="s">
        <v>29</v>
      </c>
      <c r="L153" s="65">
        <f t="shared" ref="L153" si="10">AVERAGE(0)</f>
        <v>0</v>
      </c>
      <c r="M153" s="9" t="s">
        <v>14</v>
      </c>
      <c r="N153" s="65">
        <f>AVERAGE(600)</f>
        <v>600</v>
      </c>
      <c r="O153" s="118" t="s">
        <v>1061</v>
      </c>
      <c r="P153" s="65" t="s">
        <v>14</v>
      </c>
      <c r="Q153" s="9" t="s">
        <v>14</v>
      </c>
      <c r="R153" s="50" t="s">
        <v>14</v>
      </c>
      <c r="S153" s="65">
        <v>750</v>
      </c>
      <c r="T153" s="9" t="s">
        <v>1153</v>
      </c>
      <c r="U153" s="50" t="s">
        <v>31</v>
      </c>
    </row>
    <row r="154" spans="1:21" ht="12.6" customHeight="1">
      <c r="A154" s="73" t="s">
        <v>384</v>
      </c>
      <c r="B154" s="73" t="s">
        <v>436</v>
      </c>
      <c r="C154" s="9">
        <v>14</v>
      </c>
      <c r="D154" s="10">
        <v>2.8</v>
      </c>
      <c r="E154" s="9">
        <f>C154*1.6</f>
        <v>22.400000000000002</v>
      </c>
      <c r="F154" s="64" t="s">
        <v>522</v>
      </c>
      <c r="G154" s="75">
        <v>0.28000000000000003</v>
      </c>
      <c r="H154" s="76">
        <v>0.57299999999999995</v>
      </c>
      <c r="I154" s="9">
        <v>93.6</v>
      </c>
      <c r="J154" s="9">
        <v>87</v>
      </c>
      <c r="K154" s="50" t="s">
        <v>29</v>
      </c>
      <c r="L154" s="65">
        <f>AVERAGE(215,235,207,190,204,200,191,200,200,220,240,206,200,191)</f>
        <v>207.07142857142858</v>
      </c>
      <c r="M154" s="9" t="s">
        <v>1171</v>
      </c>
      <c r="N154" s="65">
        <f>AVERAGE(260,220,265,285,295,315,270,250,240,250,279,305,301)</f>
        <v>271.92307692307691</v>
      </c>
      <c r="O154" s="66" t="s">
        <v>1153</v>
      </c>
      <c r="P154" s="65">
        <f>395*CA.US</f>
        <v>300.2</v>
      </c>
      <c r="Q154" s="9" t="s">
        <v>1153</v>
      </c>
      <c r="R154" s="50" t="s">
        <v>873</v>
      </c>
      <c r="S154" s="65">
        <v>225</v>
      </c>
      <c r="T154" s="9" t="s">
        <v>925</v>
      </c>
      <c r="U154" s="50" t="s">
        <v>27</v>
      </c>
    </row>
    <row r="155" spans="1:21" ht="12.6" customHeight="1">
      <c r="A155" s="73" t="s">
        <v>384</v>
      </c>
      <c r="B155" s="73" t="s">
        <v>882</v>
      </c>
      <c r="C155" s="9">
        <v>20</v>
      </c>
      <c r="D155" s="10">
        <v>1.8</v>
      </c>
      <c r="E155" s="9">
        <f>C155*1.6</f>
        <v>32</v>
      </c>
      <c r="F155" s="64" t="s">
        <v>522</v>
      </c>
      <c r="G155" s="75">
        <v>0.2</v>
      </c>
      <c r="H155" s="76">
        <v>0.497</v>
      </c>
      <c r="I155" s="9">
        <v>88.4</v>
      </c>
      <c r="J155" s="9">
        <v>83</v>
      </c>
      <c r="K155" s="50">
        <v>77</v>
      </c>
      <c r="L155" s="65">
        <f>AVERAGE(0)</f>
        <v>0</v>
      </c>
      <c r="M155" s="9" t="s">
        <v>14</v>
      </c>
      <c r="N155" s="65">
        <f>AVERAGE(0)</f>
        <v>0</v>
      </c>
      <c r="O155" s="118" t="s">
        <v>14</v>
      </c>
      <c r="P155" s="65" t="s">
        <v>14</v>
      </c>
      <c r="Q155" s="9" t="s">
        <v>14</v>
      </c>
      <c r="R155" s="50" t="s">
        <v>14</v>
      </c>
      <c r="S155" s="65" t="s">
        <v>14</v>
      </c>
      <c r="T155" s="9" t="s">
        <v>14</v>
      </c>
      <c r="U155" s="50" t="s">
        <v>14</v>
      </c>
    </row>
    <row r="156" spans="1:21" ht="12.6" customHeight="1">
      <c r="A156" s="73" t="s">
        <v>384</v>
      </c>
      <c r="B156" s="73" t="s">
        <v>455</v>
      </c>
      <c r="C156" s="9">
        <v>24</v>
      </c>
      <c r="D156" s="10">
        <v>1.4</v>
      </c>
      <c r="E156" s="9">
        <f>C156*1.6</f>
        <v>38.400000000000006</v>
      </c>
      <c r="F156" s="64" t="s">
        <v>522</v>
      </c>
      <c r="G156" s="75">
        <v>0.25</v>
      </c>
      <c r="H156" s="76" t="s">
        <v>14</v>
      </c>
      <c r="I156" s="9">
        <v>97.5</v>
      </c>
      <c r="J156" s="9">
        <v>83</v>
      </c>
      <c r="K156" s="50">
        <v>77</v>
      </c>
      <c r="L156" s="65">
        <f>AVERAGE(298,265,355,355,350,380,360,399)</f>
        <v>345.25</v>
      </c>
      <c r="M156" s="9" t="s">
        <v>1153</v>
      </c>
      <c r="N156" s="65">
        <f>AVERAGE(420,425,429,429,399,400,409,411,419,409)</f>
        <v>415</v>
      </c>
      <c r="O156" s="118" t="s">
        <v>1110</v>
      </c>
      <c r="P156" s="65" t="s">
        <v>14</v>
      </c>
      <c r="Q156" s="9" t="s">
        <v>14</v>
      </c>
      <c r="R156" s="50" t="s">
        <v>14</v>
      </c>
      <c r="S156" s="65">
        <v>468</v>
      </c>
      <c r="T156" s="9" t="s">
        <v>639</v>
      </c>
      <c r="U156" s="50" t="s">
        <v>28</v>
      </c>
    </row>
    <row r="157" spans="1:21" ht="12.6" customHeight="1">
      <c r="A157" s="73" t="s">
        <v>384</v>
      </c>
      <c r="B157" s="73" t="s">
        <v>543</v>
      </c>
      <c r="C157" s="9">
        <v>24</v>
      </c>
      <c r="D157" s="10">
        <v>3.5</v>
      </c>
      <c r="E157" s="9">
        <f>C157*1.6</f>
        <v>38.400000000000006</v>
      </c>
      <c r="F157" s="64" t="s">
        <v>29</v>
      </c>
      <c r="G157" s="75">
        <v>0.2</v>
      </c>
      <c r="H157" s="76">
        <v>0.68</v>
      </c>
      <c r="I157" s="9">
        <v>113</v>
      </c>
      <c r="J157" s="9">
        <v>44.5</v>
      </c>
      <c r="K157" s="50">
        <v>82</v>
      </c>
      <c r="L157" s="65">
        <f>AVERAGE(432,455,556,529,494,377,599,540,576)</f>
        <v>506.44444444444446</v>
      </c>
      <c r="M157" s="118" t="s">
        <v>919</v>
      </c>
      <c r="N157" s="65">
        <f>AVERAGE(725,765,599,699,680,699,699)</f>
        <v>695.14285714285711</v>
      </c>
      <c r="O157" s="118" t="s">
        <v>1061</v>
      </c>
      <c r="P157" s="65">
        <v>663</v>
      </c>
      <c r="Q157" s="9" t="s">
        <v>1153</v>
      </c>
      <c r="R157" s="50" t="s">
        <v>30</v>
      </c>
      <c r="S157" s="136" t="s">
        <v>14</v>
      </c>
      <c r="T157" s="9" t="s">
        <v>14</v>
      </c>
      <c r="U157" s="50" t="s">
        <v>14</v>
      </c>
    </row>
    <row r="158" spans="1:21" ht="12.6" customHeight="1">
      <c r="A158" s="73" t="s">
        <v>447</v>
      </c>
      <c r="B158" s="73" t="s">
        <v>396</v>
      </c>
      <c r="C158" s="9">
        <v>35</v>
      </c>
      <c r="D158" s="10">
        <v>1.4</v>
      </c>
      <c r="E158" s="9">
        <f t="shared" ref="E158" si="11">C158*1.6</f>
        <v>56</v>
      </c>
      <c r="F158" s="64" t="s">
        <v>522</v>
      </c>
      <c r="G158" s="75">
        <v>0.3</v>
      </c>
      <c r="H158" s="76">
        <v>0.41699999999999998</v>
      </c>
      <c r="I158" s="9">
        <v>77.3</v>
      </c>
      <c r="J158" s="9">
        <v>83</v>
      </c>
      <c r="K158" s="50">
        <v>77</v>
      </c>
      <c r="L158" s="65">
        <f>AVERAGE(193,250,252,246,261,285,224,252,290,290,275,243)</f>
        <v>255.08333333333334</v>
      </c>
      <c r="M158" s="9" t="s">
        <v>1171</v>
      </c>
      <c r="N158" s="65">
        <f>AVERAGE(375,350,293,360,350,300,400,350,370,329,340,429)</f>
        <v>353.83333333333331</v>
      </c>
      <c r="O158" s="118" t="s">
        <v>1118</v>
      </c>
      <c r="P158" s="65">
        <v>315</v>
      </c>
      <c r="Q158" s="9" t="s">
        <v>708</v>
      </c>
      <c r="R158" s="50" t="s">
        <v>31</v>
      </c>
      <c r="S158" s="65">
        <v>350</v>
      </c>
      <c r="T158" s="9" t="s">
        <v>723</v>
      </c>
      <c r="U158" s="50" t="s">
        <v>30</v>
      </c>
    </row>
    <row r="159" spans="1:21" ht="12.6" customHeight="1">
      <c r="A159" s="73" t="s">
        <v>447</v>
      </c>
      <c r="B159" s="73" t="s">
        <v>1135</v>
      </c>
      <c r="C159" s="9">
        <v>50</v>
      </c>
      <c r="D159" s="10">
        <v>1.2</v>
      </c>
      <c r="E159" s="9">
        <f>C159*1.6</f>
        <v>80</v>
      </c>
      <c r="F159" s="64" t="s">
        <v>522</v>
      </c>
      <c r="G159" s="75">
        <v>0.45</v>
      </c>
      <c r="H159" s="76">
        <v>1.2</v>
      </c>
      <c r="I159" s="9">
        <v>117.4</v>
      </c>
      <c r="J159" s="9">
        <v>93</v>
      </c>
      <c r="K159" s="50">
        <v>86</v>
      </c>
      <c r="L159" s="65" t="s">
        <v>14</v>
      </c>
      <c r="M159" s="9" t="s">
        <v>14</v>
      </c>
      <c r="N159" s="65" t="s">
        <v>14</v>
      </c>
      <c r="O159" s="118" t="s">
        <v>14</v>
      </c>
      <c r="P159" s="65">
        <v>680</v>
      </c>
      <c r="Q159" s="9" t="s">
        <v>1153</v>
      </c>
      <c r="R159" s="50" t="s">
        <v>31</v>
      </c>
      <c r="S159" s="136">
        <v>700</v>
      </c>
      <c r="T159" s="9" t="s">
        <v>1153</v>
      </c>
      <c r="U159" s="50" t="s">
        <v>30</v>
      </c>
    </row>
    <row r="160" spans="1:21" ht="12.6" customHeight="1">
      <c r="A160" s="73" t="s">
        <v>447</v>
      </c>
      <c r="B160" s="73" t="s">
        <v>660</v>
      </c>
      <c r="C160" s="9">
        <v>50</v>
      </c>
      <c r="D160" s="10">
        <v>1.4</v>
      </c>
      <c r="E160" s="9">
        <f>C160*1.6</f>
        <v>80</v>
      </c>
      <c r="F160" s="64" t="s">
        <v>522</v>
      </c>
      <c r="G160" s="75">
        <v>0.45</v>
      </c>
      <c r="H160" s="76">
        <v>0.54</v>
      </c>
      <c r="I160" s="9">
        <v>73.7</v>
      </c>
      <c r="J160" s="9">
        <v>81.3</v>
      </c>
      <c r="K160" s="50">
        <v>77</v>
      </c>
      <c r="L160" s="65">
        <f>AVERAGE(206,219,154,220)</f>
        <v>199.75</v>
      </c>
      <c r="M160" s="9" t="s">
        <v>954</v>
      </c>
      <c r="N160" s="65">
        <f>AVERAGE(338)</f>
        <v>338</v>
      </c>
      <c r="O160" s="118" t="s">
        <v>1153</v>
      </c>
      <c r="P160" s="65">
        <v>280</v>
      </c>
      <c r="Q160" s="9" t="s">
        <v>708</v>
      </c>
      <c r="R160" s="50" t="s">
        <v>31</v>
      </c>
      <c r="S160" s="136">
        <v>400</v>
      </c>
      <c r="T160" s="9" t="s">
        <v>674</v>
      </c>
      <c r="U160" s="50" t="s">
        <v>30</v>
      </c>
    </row>
    <row r="161" spans="1:21" ht="12.6" customHeight="1">
      <c r="A161" s="73" t="s">
        <v>447</v>
      </c>
      <c r="B161" s="73" t="s">
        <v>928</v>
      </c>
      <c r="C161" s="9">
        <v>85</v>
      </c>
      <c r="D161" s="10">
        <v>1.2</v>
      </c>
      <c r="E161" s="9">
        <f t="shared" ref="E161" si="12">C161*1.6</f>
        <v>136</v>
      </c>
      <c r="F161" s="64" t="s">
        <v>522</v>
      </c>
      <c r="G161" s="75">
        <v>0.8</v>
      </c>
      <c r="H161" s="76">
        <v>1.05</v>
      </c>
      <c r="I161" s="9">
        <v>98.4</v>
      </c>
      <c r="J161" s="9">
        <v>93</v>
      </c>
      <c r="K161" s="50">
        <v>86</v>
      </c>
      <c r="L161" s="65">
        <f t="shared" ref="L161" si="13">AVERAGE(0)</f>
        <v>0</v>
      </c>
      <c r="M161" s="9" t="s">
        <v>14</v>
      </c>
      <c r="N161" s="65">
        <f t="shared" ref="N161" si="14">AVERAGE(0)</f>
        <v>0</v>
      </c>
      <c r="O161" s="118" t="s">
        <v>14</v>
      </c>
      <c r="P161" s="65">
        <v>680</v>
      </c>
      <c r="Q161" s="9" t="s">
        <v>1153</v>
      </c>
      <c r="R161" s="50" t="s">
        <v>31</v>
      </c>
      <c r="S161" s="136">
        <v>1000</v>
      </c>
      <c r="T161" s="9" t="s">
        <v>924</v>
      </c>
      <c r="U161" s="50" t="s">
        <v>30</v>
      </c>
    </row>
    <row r="162" spans="1:21" ht="12.6" customHeight="1">
      <c r="A162" s="73" t="s">
        <v>447</v>
      </c>
      <c r="B162" s="73" t="s">
        <v>334</v>
      </c>
      <c r="C162" s="9">
        <v>85</v>
      </c>
      <c r="D162" s="10">
        <v>1.4</v>
      </c>
      <c r="E162" s="9">
        <f t="shared" ref="E162" si="15">C162*1.6</f>
        <v>136</v>
      </c>
      <c r="F162" s="64" t="s">
        <v>522</v>
      </c>
      <c r="G162" s="75">
        <v>1</v>
      </c>
      <c r="H162" s="76">
        <v>0.53900000000000003</v>
      </c>
      <c r="I162" s="9">
        <v>74.7</v>
      </c>
      <c r="J162" s="9">
        <v>78</v>
      </c>
      <c r="K162" s="50">
        <v>72</v>
      </c>
      <c r="L162" s="65">
        <f>AVERAGE(183,209,190,193,170,170,203,191,184,203,189,194,180)</f>
        <v>189.15384615384616</v>
      </c>
      <c r="M162" s="9" t="s">
        <v>954</v>
      </c>
      <c r="N162" s="65">
        <f>AVERAGE(219,215,255,210,220,229,220,225,240)</f>
        <v>225.88888888888889</v>
      </c>
      <c r="O162" s="118" t="s">
        <v>952</v>
      </c>
      <c r="P162" s="65">
        <v>210</v>
      </c>
      <c r="Q162" s="9" t="s">
        <v>639</v>
      </c>
      <c r="R162" s="50" t="s">
        <v>30</v>
      </c>
      <c r="S162" s="65">
        <f>375*CA.US</f>
        <v>285</v>
      </c>
      <c r="T162" s="9" t="s">
        <v>918</v>
      </c>
      <c r="U162" s="50" t="s">
        <v>873</v>
      </c>
    </row>
    <row r="163" spans="1:21" ht="12.6" customHeight="1">
      <c r="A163" s="73" t="s">
        <v>384</v>
      </c>
      <c r="B163" s="73" t="s">
        <v>687</v>
      </c>
      <c r="C163" s="9">
        <v>100</v>
      </c>
      <c r="D163" s="10">
        <v>2.8</v>
      </c>
      <c r="E163" s="9">
        <f t="shared" ref="E163:E164" si="16">C163*1.6</f>
        <v>160</v>
      </c>
      <c r="F163" s="64" t="s">
        <v>522</v>
      </c>
      <c r="G163" s="75">
        <v>0.307</v>
      </c>
      <c r="H163" s="76">
        <v>0.72</v>
      </c>
      <c r="I163" s="9">
        <v>123.1</v>
      </c>
      <c r="J163" s="9">
        <v>72.599999999999994</v>
      </c>
      <c r="K163" s="50">
        <v>67</v>
      </c>
      <c r="L163" s="65">
        <f t="shared" ref="L163" si="17">AVERAGE(0)</f>
        <v>0</v>
      </c>
      <c r="M163" s="9" t="s">
        <v>14</v>
      </c>
      <c r="N163" s="136">
        <f>AVERAGE(399)</f>
        <v>399</v>
      </c>
      <c r="O163" s="118" t="s">
        <v>723</v>
      </c>
      <c r="P163" s="65" t="s">
        <v>14</v>
      </c>
      <c r="Q163" s="9" t="s">
        <v>14</v>
      </c>
      <c r="R163" s="50" t="s">
        <v>14</v>
      </c>
      <c r="S163" s="136">
        <v>550</v>
      </c>
      <c r="T163" s="9" t="s">
        <v>688</v>
      </c>
      <c r="U163" s="50" t="s">
        <v>30</v>
      </c>
    </row>
    <row r="164" spans="1:21" ht="12.6" customHeight="1">
      <c r="A164" s="67" t="s">
        <v>447</v>
      </c>
      <c r="B164" s="67" t="s">
        <v>806</v>
      </c>
      <c r="C164" s="36">
        <v>135</v>
      </c>
      <c r="D164" s="71">
        <v>2</v>
      </c>
      <c r="E164" s="36">
        <f t="shared" si="16"/>
        <v>216</v>
      </c>
      <c r="F164" s="69" t="s">
        <v>522</v>
      </c>
      <c r="G164" s="59">
        <v>0.8</v>
      </c>
      <c r="H164" s="40">
        <v>0.83</v>
      </c>
      <c r="I164" s="36">
        <v>122</v>
      </c>
      <c r="J164" s="36">
        <v>82</v>
      </c>
      <c r="K164" s="52">
        <v>77</v>
      </c>
      <c r="L164" s="61">
        <f>AVERAGE(415)</f>
        <v>415</v>
      </c>
      <c r="M164" s="52" t="s">
        <v>892</v>
      </c>
      <c r="N164" s="151">
        <f>AVERAGE(439,479,400,403)</f>
        <v>430.25</v>
      </c>
      <c r="O164" s="52" t="s">
        <v>918</v>
      </c>
      <c r="P164" s="61" t="s">
        <v>14</v>
      </c>
      <c r="Q164" s="36" t="s">
        <v>14</v>
      </c>
      <c r="R164" s="52" t="s">
        <v>14</v>
      </c>
      <c r="S164" s="151">
        <v>550</v>
      </c>
      <c r="T164" s="36" t="s">
        <v>688</v>
      </c>
      <c r="U164" s="52" t="s">
        <v>30</v>
      </c>
    </row>
  </sheetData>
  <sheetProtection password="990B" sheet="1" objects="1" scenarios="1"/>
  <phoneticPr fontId="0" type="noConversion"/>
  <pageMargins left="0.3" right="0" top="0.5" bottom="0" header="0.59055118110236204" footer="0.511811023622047"/>
  <pageSetup orientation="landscape" r:id="rId1"/>
  <headerFooter alignWithMargins="0">
    <oddHeader>&amp;R&amp;9(&amp;P of &amp;N)</oddHeader>
  </headerFooter>
  <rowBreaks count="4" manualBreakCount="4">
    <brk id="39" max="16383" man="1"/>
    <brk id="71" max="16383" man="1"/>
    <brk id="107" max="16383" man="1"/>
    <brk id="1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i</vt:lpstr>
      <vt:lpstr>RF</vt:lpstr>
      <vt:lpstr>EFp</vt:lpstr>
      <vt:lpstr>EFz</vt:lpstr>
      <vt:lpstr>EF-S</vt:lpstr>
      <vt:lpstr>EF-M</vt:lpstr>
      <vt:lpstr>STT</vt:lpstr>
      <vt:lpstr>CZ.V</vt:lpstr>
      <vt:lpstr>LNOP</vt:lpstr>
      <vt:lpstr>M42</vt:lpstr>
      <vt:lpstr>645</vt:lpstr>
      <vt:lpstr>LM</vt:lpstr>
      <vt:lpstr>compare</vt:lpstr>
      <vt:lpstr>CA.US</vt:lpstr>
      <vt:lpstr>'645'!Print_Titles</vt:lpstr>
      <vt:lpstr>compare!Print_Titles</vt:lpstr>
      <vt:lpstr>CZ.V!Print_Titles</vt:lpstr>
      <vt:lpstr>'EF-M'!Print_Titles</vt:lpstr>
      <vt:lpstr>EFp!Print_Titles</vt:lpstr>
      <vt:lpstr>'EF-S'!Print_Titles</vt:lpstr>
      <vt:lpstr>EFz!Print_Titles</vt:lpstr>
      <vt:lpstr>i!Print_Titles</vt:lpstr>
      <vt:lpstr>LM!Print_Titles</vt:lpstr>
      <vt:lpstr>LNOP!Print_Titles</vt:lpstr>
      <vt:lpstr>'M42'!Print_Titles</vt:lpstr>
      <vt:lpstr>RF!Print_Titles</vt:lpstr>
      <vt:lpstr>STT!Print_Titles</vt:lpstr>
    </vt:vector>
  </TitlesOfParts>
  <Company>DRDC Atlantic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 Colwell</dc:creator>
  <cp:lastModifiedBy>James Colwell</cp:lastModifiedBy>
  <cp:lastPrinted>2018-09-23T11:27:24Z</cp:lastPrinted>
  <dcterms:created xsi:type="dcterms:W3CDTF">2006-02-03T12:48:50Z</dcterms:created>
  <dcterms:modified xsi:type="dcterms:W3CDTF">2018-09-23T11:31:05Z</dcterms:modified>
</cp:coreProperties>
</file>